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-15" windowWidth="12120" windowHeight="6120" tabRatio="652"/>
  </bookViews>
  <sheets>
    <sheet name="Članica" sheetId="14" r:id="rId1"/>
    <sheet name="SD-Prih-Odh" sheetId="18" r:id="rId2"/>
    <sheet name="FN 2011-Realizacija 2011" sheetId="12" r:id="rId3"/>
    <sheet name="Obrazložitev realizacije " sheetId="22" r:id="rId4"/>
    <sheet name="Oprema" sheetId="5" r:id="rId5"/>
    <sheet name="Struktura P-O" sheetId="21" r:id="rId6"/>
    <sheet name="List1" sheetId="23" r:id="rId7"/>
  </sheets>
  <definedNames>
    <definedName name="_xlnm.Database">#REF!</definedName>
    <definedName name="_xlnm.Print_Area" localSheetId="0">Članica!$A$1:$C$49</definedName>
    <definedName name="_xlnm.Print_Area" localSheetId="2">'FN 2011-Realizacija 2011'!$A$1:$Y$172</definedName>
    <definedName name="_xlnm.Print_Area" localSheetId="3">'Obrazložitev realizacije '!$A$1:$C$31</definedName>
    <definedName name="_xlnm.Print_Area" localSheetId="1">'SD-Prih-Odh'!$A$1:$G$108</definedName>
    <definedName name="_xlnm.Print_Titles" localSheetId="2">'FN 2011-Realizacija 2011'!$7:$11</definedName>
    <definedName name="_xlnm.Print_Titles" localSheetId="4">Oprema!$6:$10</definedName>
    <definedName name="_xlnm.Print_Titles" localSheetId="1">'SD-Prih-Odh'!$9:$11</definedName>
  </definedNames>
  <calcPr calcId="145621"/>
</workbook>
</file>

<file path=xl/calcChain.xml><?xml version="1.0" encoding="utf-8"?>
<calcChain xmlns="http://schemas.openxmlformats.org/spreadsheetml/2006/main">
  <c r="O55" i="12" l="1"/>
  <c r="W154" i="12"/>
  <c r="T160" i="12"/>
  <c r="V161" i="12"/>
  <c r="V32" i="12"/>
  <c r="O134" i="12"/>
  <c r="P134" i="12"/>
  <c r="P160" i="12" l="1"/>
  <c r="V159" i="12"/>
  <c r="T80" i="12"/>
  <c r="T87" i="12"/>
  <c r="T140" i="12" l="1"/>
  <c r="U140" i="12" l="1"/>
  <c r="P140" i="12" l="1"/>
  <c r="O140" i="12"/>
  <c r="P138" i="12"/>
  <c r="O138" i="12"/>
  <c r="P137" i="12"/>
  <c r="O137" i="12"/>
  <c r="E7" i="23" l="1"/>
  <c r="D8" i="23"/>
  <c r="C7" i="23"/>
  <c r="T98" i="12"/>
  <c r="T105" i="12"/>
  <c r="E24" i="5" l="1"/>
  <c r="E20" i="5"/>
  <c r="E19" i="5"/>
  <c r="E18" i="5"/>
  <c r="E17" i="5"/>
  <c r="E16" i="5"/>
  <c r="E25" i="5"/>
  <c r="E23" i="5"/>
  <c r="E22" i="5"/>
  <c r="E21" i="5"/>
  <c r="B4" i="22"/>
  <c r="B30" i="22"/>
  <c r="B26" i="22"/>
  <c r="H27" i="5"/>
  <c r="F27" i="5"/>
  <c r="F29" i="5" s="1"/>
  <c r="E13" i="5"/>
  <c r="E14" i="5"/>
  <c r="E15" i="5"/>
  <c r="E26" i="5"/>
  <c r="A48" i="21"/>
  <c r="A44" i="21"/>
  <c r="F48" i="21"/>
  <c r="R107" i="12"/>
  <c r="Q107" i="12"/>
  <c r="P107" i="12"/>
  <c r="O107" i="12"/>
  <c r="B4" i="21"/>
  <c r="B35" i="21"/>
  <c r="C33" i="21" s="1"/>
  <c r="E12" i="5"/>
  <c r="Y154" i="12"/>
  <c r="Y153" i="12"/>
  <c r="Y152" i="12"/>
  <c r="Y151" i="12"/>
  <c r="Y148" i="12"/>
  <c r="Y147" i="12"/>
  <c r="Y146" i="12"/>
  <c r="Y145" i="12"/>
  <c r="Y144" i="12"/>
  <c r="Y141" i="12"/>
  <c r="Y140" i="12"/>
  <c r="Y139" i="12"/>
  <c r="Y138" i="12"/>
  <c r="Y137" i="12"/>
  <c r="Y134" i="12"/>
  <c r="Y133" i="12"/>
  <c r="Y132" i="12"/>
  <c r="Y131" i="12"/>
  <c r="Y130" i="12"/>
  <c r="Y128" i="12"/>
  <c r="Y126" i="12"/>
  <c r="Y125" i="12"/>
  <c r="Y124" i="12"/>
  <c r="Y123" i="12"/>
  <c r="Y120" i="12"/>
  <c r="Y119" i="12"/>
  <c r="Y118" i="12"/>
  <c r="Y117" i="12"/>
  <c r="Y113" i="12"/>
  <c r="Y112" i="12"/>
  <c r="Y111" i="12"/>
  <c r="Y110" i="12"/>
  <c r="Y109" i="12"/>
  <c r="Y106" i="12"/>
  <c r="Y105" i="12"/>
  <c r="Y104" i="12"/>
  <c r="Y103" i="12"/>
  <c r="Y102" i="12"/>
  <c r="Y101" i="12"/>
  <c r="Y98" i="12"/>
  <c r="Y97" i="12"/>
  <c r="Y96" i="12"/>
  <c r="Y95" i="12"/>
  <c r="Y94" i="12"/>
  <c r="Y91" i="12"/>
  <c r="Y87" i="12"/>
  <c r="Y86" i="12"/>
  <c r="Y85" i="12"/>
  <c r="Y84" i="12"/>
  <c r="Y81" i="12"/>
  <c r="Y73" i="12"/>
  <c r="Y72" i="12"/>
  <c r="Y71" i="12"/>
  <c r="Y70" i="12"/>
  <c r="Y67" i="12"/>
  <c r="Y80" i="12"/>
  <c r="Y79" i="12"/>
  <c r="Y78" i="12"/>
  <c r="Y77" i="12"/>
  <c r="Y74" i="12"/>
  <c r="Y66" i="12"/>
  <c r="Y65" i="12"/>
  <c r="Y64" i="12"/>
  <c r="Y62" i="12"/>
  <c r="Y61" i="12"/>
  <c r="Y59" i="12"/>
  <c r="Y58" i="12"/>
  <c r="Y56" i="12"/>
  <c r="Y55" i="12"/>
  <c r="Y52" i="12"/>
  <c r="Y51" i="12"/>
  <c r="Y50" i="12"/>
  <c r="Y49" i="12"/>
  <c r="Y48" i="12"/>
  <c r="Y47" i="12"/>
  <c r="Y45" i="12"/>
  <c r="Y43" i="12"/>
  <c r="Y42" i="12"/>
  <c r="Y41" i="12"/>
  <c r="Y40" i="12"/>
  <c r="Y39" i="12"/>
  <c r="Y38" i="12"/>
  <c r="Y37" i="12"/>
  <c r="Y32" i="12"/>
  <c r="Y163" i="12"/>
  <c r="Y162" i="12"/>
  <c r="Y161" i="12"/>
  <c r="Y160" i="12"/>
  <c r="Y159" i="12"/>
  <c r="Y156" i="12"/>
  <c r="G95" i="18"/>
  <c r="G94" i="18"/>
  <c r="G93" i="18"/>
  <c r="G91" i="18"/>
  <c r="G90" i="18"/>
  <c r="G89" i="18"/>
  <c r="G88" i="18"/>
  <c r="G87" i="18"/>
  <c r="G86" i="18"/>
  <c r="G85" i="18"/>
  <c r="G84" i="18"/>
  <c r="G83" i="18"/>
  <c r="G82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3" i="18"/>
  <c r="G62" i="18"/>
  <c r="G61" i="18"/>
  <c r="G60" i="18"/>
  <c r="G59" i="18"/>
  <c r="G57" i="18"/>
  <c r="G56" i="18"/>
  <c r="G55" i="18"/>
  <c r="G54" i="18"/>
  <c r="G53" i="18"/>
  <c r="G52" i="18"/>
  <c r="G51" i="18"/>
  <c r="G47" i="18"/>
  <c r="G46" i="18"/>
  <c r="G45" i="18"/>
  <c r="G44" i="18"/>
  <c r="G43" i="18"/>
  <c r="G41" i="18"/>
  <c r="G39" i="18"/>
  <c r="G38" i="18"/>
  <c r="G37" i="18"/>
  <c r="G36" i="18"/>
  <c r="G35" i="18"/>
  <c r="G34" i="18"/>
  <c r="G33" i="18"/>
  <c r="G29" i="18"/>
  <c r="G28" i="18"/>
  <c r="G27" i="18"/>
  <c r="G26" i="18"/>
  <c r="G25" i="18"/>
  <c r="G23" i="18"/>
  <c r="G22" i="18"/>
  <c r="G27" i="5"/>
  <c r="O63" i="12"/>
  <c r="Y63" i="12" s="1"/>
  <c r="P129" i="12"/>
  <c r="P127" i="12"/>
  <c r="P122" i="12"/>
  <c r="P121" i="12"/>
  <c r="U122" i="12"/>
  <c r="T122" i="12"/>
  <c r="W122" i="12"/>
  <c r="V122" i="12"/>
  <c r="S122" i="12"/>
  <c r="R122" i="12"/>
  <c r="Q122" i="12"/>
  <c r="O122" i="12"/>
  <c r="N122" i="12" s="1"/>
  <c r="Y122" i="12"/>
  <c r="W129" i="12"/>
  <c r="V129" i="12"/>
  <c r="U129" i="12"/>
  <c r="T129" i="12"/>
  <c r="S129" i="12"/>
  <c r="R129" i="12"/>
  <c r="Q129" i="12"/>
  <c r="O129" i="12"/>
  <c r="W127" i="12"/>
  <c r="V127" i="12"/>
  <c r="U127" i="12"/>
  <c r="T127" i="12"/>
  <c r="T121" i="12"/>
  <c r="S127" i="12"/>
  <c r="R127" i="12"/>
  <c r="Q127" i="12"/>
  <c r="O127" i="12"/>
  <c r="N133" i="12"/>
  <c r="N132" i="12"/>
  <c r="N131" i="12"/>
  <c r="N130" i="12"/>
  <c r="N128" i="12"/>
  <c r="X129" i="12"/>
  <c r="X128" i="12"/>
  <c r="X130" i="12"/>
  <c r="X131" i="12"/>
  <c r="X132" i="12"/>
  <c r="X133" i="12"/>
  <c r="X126" i="12"/>
  <c r="N126" i="12"/>
  <c r="O54" i="12"/>
  <c r="W54" i="12"/>
  <c r="V54" i="12"/>
  <c r="U54" i="12"/>
  <c r="T54" i="12"/>
  <c r="S54" i="12"/>
  <c r="R54" i="12"/>
  <c r="Q54" i="12"/>
  <c r="P54" i="12"/>
  <c r="H29" i="5"/>
  <c r="N65" i="12"/>
  <c r="X65" i="12"/>
  <c r="Q121" i="12"/>
  <c r="P116" i="12"/>
  <c r="P114" i="12" s="1"/>
  <c r="N125" i="12"/>
  <c r="X125" i="12"/>
  <c r="N124" i="12"/>
  <c r="X124" i="12"/>
  <c r="N123" i="12"/>
  <c r="X123" i="12"/>
  <c r="N120" i="12"/>
  <c r="N119" i="12"/>
  <c r="N118" i="12"/>
  <c r="N117" i="12"/>
  <c r="W116" i="12"/>
  <c r="V116" i="12"/>
  <c r="U116" i="12"/>
  <c r="T116" i="12"/>
  <c r="T114" i="12"/>
  <c r="S116" i="12"/>
  <c r="R116" i="12"/>
  <c r="Q116" i="12"/>
  <c r="Q114" i="12"/>
  <c r="Q115" i="12"/>
  <c r="O116" i="12"/>
  <c r="Y116" i="12"/>
  <c r="X117" i="12"/>
  <c r="X118" i="12"/>
  <c r="X119" i="12"/>
  <c r="X120" i="12"/>
  <c r="N86" i="12"/>
  <c r="X86" i="12"/>
  <c r="N71" i="12"/>
  <c r="X71" i="12"/>
  <c r="Y82" i="12"/>
  <c r="Q82" i="12"/>
  <c r="Y155" i="12"/>
  <c r="W135" i="12"/>
  <c r="V135" i="12"/>
  <c r="U135" i="12"/>
  <c r="T135" i="12"/>
  <c r="S135" i="12"/>
  <c r="R135" i="12"/>
  <c r="Q135" i="12"/>
  <c r="P135" i="12"/>
  <c r="O135" i="12"/>
  <c r="Y135" i="12"/>
  <c r="W29" i="12"/>
  <c r="V29" i="12"/>
  <c r="U29" i="12"/>
  <c r="T29" i="12"/>
  <c r="S29" i="12"/>
  <c r="R29" i="12"/>
  <c r="Q29" i="12"/>
  <c r="P29" i="12"/>
  <c r="O29" i="12"/>
  <c r="Y29" i="12" s="1"/>
  <c r="N61" i="12"/>
  <c r="X61" i="12" s="1"/>
  <c r="N62" i="12"/>
  <c r="W60" i="12"/>
  <c r="V60" i="12"/>
  <c r="U60" i="12"/>
  <c r="T60" i="12"/>
  <c r="S60" i="12"/>
  <c r="R60" i="12"/>
  <c r="Q60" i="12"/>
  <c r="P60" i="12"/>
  <c r="O60" i="12"/>
  <c r="Y60" i="12" s="1"/>
  <c r="X62" i="12"/>
  <c r="W57" i="12"/>
  <c r="V57" i="12"/>
  <c r="U57" i="12"/>
  <c r="T57" i="12"/>
  <c r="S57" i="12"/>
  <c r="R57" i="12"/>
  <c r="Q57" i="12"/>
  <c r="P57" i="12"/>
  <c r="O57" i="12"/>
  <c r="X57" i="12"/>
  <c r="Y57" i="12"/>
  <c r="N58" i="12"/>
  <c r="N59" i="12"/>
  <c r="X58" i="12"/>
  <c r="X59" i="12"/>
  <c r="N116" i="12"/>
  <c r="X116" i="12"/>
  <c r="N161" i="12"/>
  <c r="Y149" i="12"/>
  <c r="N154" i="12"/>
  <c r="X154" i="12" s="1"/>
  <c r="N153" i="12"/>
  <c r="X153" i="12" s="1"/>
  <c r="N152" i="12"/>
  <c r="X152" i="12" s="1"/>
  <c r="N151" i="12"/>
  <c r="X151" i="12" s="1"/>
  <c r="W149" i="12"/>
  <c r="W150" i="12" s="1"/>
  <c r="V149" i="12"/>
  <c r="V150" i="12" s="1"/>
  <c r="U149" i="12"/>
  <c r="U150" i="12" s="1"/>
  <c r="T149" i="12"/>
  <c r="T150" i="12" s="1"/>
  <c r="S149" i="12"/>
  <c r="S150" i="12" s="1"/>
  <c r="R149" i="12"/>
  <c r="R150" i="12" s="1"/>
  <c r="Q149" i="12"/>
  <c r="Q150" i="12" s="1"/>
  <c r="P149" i="12"/>
  <c r="P150" i="12" s="1"/>
  <c r="O149" i="12"/>
  <c r="O150" i="12"/>
  <c r="N148" i="12"/>
  <c r="X148" i="12" s="1"/>
  <c r="B6" i="12"/>
  <c r="P157" i="12"/>
  <c r="P22" i="12" s="1"/>
  <c r="I27" i="5"/>
  <c r="I29" i="5"/>
  <c r="Q157" i="12"/>
  <c r="Q22" i="12" s="1"/>
  <c r="Q23" i="12" s="1"/>
  <c r="J27" i="5"/>
  <c r="J29" i="5" s="1"/>
  <c r="R157" i="12"/>
  <c r="R22" i="12" s="1"/>
  <c r="K27" i="5"/>
  <c r="K29" i="5" s="1"/>
  <c r="S157" i="12"/>
  <c r="S22" i="12" s="1"/>
  <c r="S23" i="12" s="1"/>
  <c r="L27" i="5"/>
  <c r="L29" i="5" s="1"/>
  <c r="T157" i="12"/>
  <c r="T22" i="12" s="1"/>
  <c r="T23" i="12" s="1"/>
  <c r="M27" i="5"/>
  <c r="M29" i="5" s="1"/>
  <c r="U157" i="12"/>
  <c r="U22" i="12" s="1"/>
  <c r="U23" i="12" s="1"/>
  <c r="N27" i="5"/>
  <c r="N29" i="5" s="1"/>
  <c r="V157" i="12"/>
  <c r="V22" i="12" s="1"/>
  <c r="E11" i="5"/>
  <c r="O157" i="12"/>
  <c r="Y150" i="12"/>
  <c r="Y92" i="12"/>
  <c r="N102" i="12"/>
  <c r="N103" i="12"/>
  <c r="N104" i="12"/>
  <c r="X102" i="12"/>
  <c r="X103" i="12"/>
  <c r="X104" i="12"/>
  <c r="W107" i="12"/>
  <c r="Y107" i="12"/>
  <c r="V107" i="12"/>
  <c r="U107" i="12"/>
  <c r="U108" i="12" s="1"/>
  <c r="T107" i="12"/>
  <c r="S107" i="12"/>
  <c r="A172" i="12"/>
  <c r="A168" i="12"/>
  <c r="E172" i="12"/>
  <c r="Q21" i="12"/>
  <c r="W21" i="12"/>
  <c r="V21" i="12"/>
  <c r="U21" i="12"/>
  <c r="T21" i="12"/>
  <c r="S21" i="12"/>
  <c r="R21" i="12"/>
  <c r="R23" i="12" s="1"/>
  <c r="P21" i="12"/>
  <c r="O21" i="12"/>
  <c r="Y21" i="12" s="1"/>
  <c r="G20" i="18"/>
  <c r="N163" i="12"/>
  <c r="N162" i="12"/>
  <c r="N159" i="12"/>
  <c r="N156" i="12"/>
  <c r="N147" i="12"/>
  <c r="N146" i="12"/>
  <c r="N145" i="12"/>
  <c r="N144" i="12"/>
  <c r="N141" i="12"/>
  <c r="N140" i="12"/>
  <c r="N139" i="12"/>
  <c r="N138" i="12"/>
  <c r="B6" i="23" s="1"/>
  <c r="C6" i="23" s="1"/>
  <c r="E6" i="23" s="1"/>
  <c r="N137" i="12"/>
  <c r="C5" i="23" s="1"/>
  <c r="N134" i="12"/>
  <c r="N113" i="12"/>
  <c r="N112" i="12"/>
  <c r="N110" i="12"/>
  <c r="N109" i="12"/>
  <c r="N106" i="12"/>
  <c r="N105" i="12"/>
  <c r="X105" i="12" s="1"/>
  <c r="N101" i="12"/>
  <c r="N98" i="12"/>
  <c r="X98" i="12" s="1"/>
  <c r="N97" i="12"/>
  <c r="N96" i="12"/>
  <c r="N95" i="12"/>
  <c r="N94" i="12"/>
  <c r="N91" i="12"/>
  <c r="N87" i="12"/>
  <c r="X87" i="12" s="1"/>
  <c r="N85" i="12"/>
  <c r="N84" i="12"/>
  <c r="N81" i="12"/>
  <c r="N73" i="12"/>
  <c r="N72" i="12"/>
  <c r="N70" i="12"/>
  <c r="N67" i="12"/>
  <c r="N80" i="12"/>
  <c r="X80" i="12" s="1"/>
  <c r="N79" i="12"/>
  <c r="N78" i="12"/>
  <c r="N77" i="12"/>
  <c r="N74" i="12"/>
  <c r="X74" i="12" s="1"/>
  <c r="N66" i="12"/>
  <c r="X66" i="12" s="1"/>
  <c r="N64" i="12"/>
  <c r="X64" i="12" s="1"/>
  <c r="N56" i="12"/>
  <c r="X56" i="12" s="1"/>
  <c r="N55" i="12"/>
  <c r="X55" i="12" s="1"/>
  <c r="N52" i="12"/>
  <c r="N51" i="12"/>
  <c r="N50" i="12"/>
  <c r="X50" i="12" s="1"/>
  <c r="N49" i="12"/>
  <c r="X49" i="12" s="1"/>
  <c r="N48" i="12"/>
  <c r="N47" i="12"/>
  <c r="N45" i="12"/>
  <c r="X45" i="12" s="1"/>
  <c r="N43" i="12"/>
  <c r="X43" i="12" s="1"/>
  <c r="N42" i="12"/>
  <c r="N41" i="12"/>
  <c r="N40" i="12"/>
  <c r="N39" i="12"/>
  <c r="X39" i="12" s="1"/>
  <c r="N38" i="12"/>
  <c r="N37" i="12"/>
  <c r="N32" i="12"/>
  <c r="X32" i="12" s="1"/>
  <c r="X163" i="12"/>
  <c r="X162" i="12"/>
  <c r="X161" i="12"/>
  <c r="X159" i="12"/>
  <c r="X156" i="12"/>
  <c r="X147" i="12"/>
  <c r="X146" i="12"/>
  <c r="X145" i="12"/>
  <c r="X144" i="12"/>
  <c r="X141" i="12"/>
  <c r="X140" i="12"/>
  <c r="X139" i="12"/>
  <c r="X138" i="12"/>
  <c r="X137" i="12"/>
  <c r="X134" i="12"/>
  <c r="X113" i="12"/>
  <c r="X112" i="12"/>
  <c r="X110" i="12"/>
  <c r="X109" i="12"/>
  <c r="X106" i="12"/>
  <c r="X101" i="12"/>
  <c r="X97" i="12"/>
  <c r="X96" i="12"/>
  <c r="X95" i="12"/>
  <c r="X94" i="12"/>
  <c r="X91" i="12"/>
  <c r="X85" i="12"/>
  <c r="X84" i="12"/>
  <c r="X81" i="12"/>
  <c r="X73" i="12"/>
  <c r="X72" i="12"/>
  <c r="X70" i="12"/>
  <c r="X67" i="12"/>
  <c r="X79" i="12"/>
  <c r="X78" i="12"/>
  <c r="X77" i="12"/>
  <c r="X52" i="12"/>
  <c r="X51" i="12"/>
  <c r="X48" i="12"/>
  <c r="X47" i="12"/>
  <c r="X42" i="12"/>
  <c r="X41" i="12"/>
  <c r="X38" i="12"/>
  <c r="U142" i="12"/>
  <c r="U143" i="12" s="1"/>
  <c r="U99" i="12"/>
  <c r="U100" i="12"/>
  <c r="U92" i="12"/>
  <c r="U93" i="12" s="1"/>
  <c r="U88" i="12"/>
  <c r="U17" i="12"/>
  <c r="F40" i="18" s="1"/>
  <c r="G40" i="18" s="1"/>
  <c r="U82" i="12"/>
  <c r="U83" i="12" s="1"/>
  <c r="U68" i="12"/>
  <c r="U69" i="12" s="1"/>
  <c r="U75" i="12"/>
  <c r="U76" i="12"/>
  <c r="U63" i="12"/>
  <c r="U53" i="12" s="1"/>
  <c r="U46" i="12"/>
  <c r="U44" i="12"/>
  <c r="U36" i="12"/>
  <c r="U35" i="12" s="1"/>
  <c r="U25" i="12"/>
  <c r="V142" i="12"/>
  <c r="V143" i="12"/>
  <c r="V108" i="12"/>
  <c r="V99" i="12"/>
  <c r="V100" i="12" s="1"/>
  <c r="V92" i="12"/>
  <c r="V93" i="12" s="1"/>
  <c r="V88" i="12"/>
  <c r="V17" i="12" s="1"/>
  <c r="V13" i="12" s="1"/>
  <c r="C18" i="21" s="1"/>
  <c r="V82" i="12"/>
  <c r="V83" i="12" s="1"/>
  <c r="V68" i="12"/>
  <c r="V69" i="12" s="1"/>
  <c r="V75" i="12"/>
  <c r="V76" i="12" s="1"/>
  <c r="V63" i="12"/>
  <c r="V53" i="12" s="1"/>
  <c r="V46" i="12"/>
  <c r="V44" i="12"/>
  <c r="V36" i="12"/>
  <c r="V35" i="12" s="1"/>
  <c r="V25" i="12"/>
  <c r="S142" i="12"/>
  <c r="S143" i="12"/>
  <c r="S108" i="12"/>
  <c r="S99" i="12"/>
  <c r="S100" i="12" s="1"/>
  <c r="S92" i="12"/>
  <c r="S93" i="12"/>
  <c r="S88" i="12"/>
  <c r="S17" i="12" s="1"/>
  <c r="S82" i="12"/>
  <c r="S83" i="12"/>
  <c r="S68" i="12"/>
  <c r="S69" i="12" s="1"/>
  <c r="S75" i="12"/>
  <c r="S76" i="12" s="1"/>
  <c r="S63" i="12"/>
  <c r="S53" i="12" s="1"/>
  <c r="S46" i="12"/>
  <c r="S44" i="12"/>
  <c r="S36" i="12"/>
  <c r="S35" i="12" s="1"/>
  <c r="S25" i="12"/>
  <c r="Q142" i="12"/>
  <c r="Q143" i="12" s="1"/>
  <c r="Q108" i="12"/>
  <c r="Q99" i="12"/>
  <c r="Q100" i="12" s="1"/>
  <c r="Q92" i="12"/>
  <c r="Q93" i="12" s="1"/>
  <c r="Q88" i="12"/>
  <c r="Q17" i="12" s="1"/>
  <c r="Q13" i="12" s="1"/>
  <c r="C13" i="21" s="1"/>
  <c r="Q83" i="12"/>
  <c r="Q68" i="12"/>
  <c r="Q69" i="12" s="1"/>
  <c r="Q75" i="12"/>
  <c r="Q76" i="12" s="1"/>
  <c r="Q63" i="12"/>
  <c r="Q53" i="12" s="1"/>
  <c r="Q46" i="12"/>
  <c r="Q44" i="12"/>
  <c r="Q36" i="12"/>
  <c r="Q35" i="12" s="1"/>
  <c r="Q25" i="12"/>
  <c r="W36" i="12"/>
  <c r="W35" i="12" s="1"/>
  <c r="T36" i="12"/>
  <c r="T35" i="12" s="1"/>
  <c r="R36" i="12"/>
  <c r="P36" i="12"/>
  <c r="O36" i="12"/>
  <c r="U158" i="12"/>
  <c r="R158" i="12"/>
  <c r="P158" i="12"/>
  <c r="T158" i="12"/>
  <c r="Q158" i="12"/>
  <c r="S158" i="12"/>
  <c r="U89" i="12"/>
  <c r="B49" i="5"/>
  <c r="B45" i="5"/>
  <c r="E49" i="5"/>
  <c r="C5" i="5"/>
  <c r="A25" i="5"/>
  <c r="O27" i="5"/>
  <c r="O29" i="5" s="1"/>
  <c r="Y142" i="12"/>
  <c r="Y68" i="12"/>
  <c r="Y75" i="12"/>
  <c r="G24" i="18"/>
  <c r="W142" i="12"/>
  <c r="W143" i="12" s="1"/>
  <c r="T142" i="12"/>
  <c r="T143" i="12"/>
  <c r="R142" i="12"/>
  <c r="P142" i="12"/>
  <c r="P143" i="12" s="1"/>
  <c r="O142" i="12"/>
  <c r="T115" i="12"/>
  <c r="W108" i="12"/>
  <c r="R108" i="12"/>
  <c r="W99" i="12"/>
  <c r="W100" i="12" s="1"/>
  <c r="T99" i="12"/>
  <c r="T100" i="12" s="1"/>
  <c r="R99" i="12"/>
  <c r="R100" i="12" s="1"/>
  <c r="P99" i="12"/>
  <c r="P100" i="12" s="1"/>
  <c r="O99" i="12"/>
  <c r="Y99" i="12" s="1"/>
  <c r="W92" i="12"/>
  <c r="W93" i="12" s="1"/>
  <c r="T92" i="12"/>
  <c r="T93" i="12" s="1"/>
  <c r="R92" i="12"/>
  <c r="P92" i="12"/>
  <c r="P89" i="12" s="1"/>
  <c r="P90" i="12" s="1"/>
  <c r="O92" i="12"/>
  <c r="W88" i="12"/>
  <c r="T88" i="12"/>
  <c r="T17" i="12" s="1"/>
  <c r="T13" i="12" s="1"/>
  <c r="R88" i="12"/>
  <c r="P88" i="12"/>
  <c r="O88" i="12"/>
  <c r="Y88" i="12" s="1"/>
  <c r="W82" i="12"/>
  <c r="W83" i="12" s="1"/>
  <c r="T82" i="12"/>
  <c r="T83" i="12" s="1"/>
  <c r="R82" i="12"/>
  <c r="R83" i="12" s="1"/>
  <c r="P82" i="12"/>
  <c r="O82" i="12"/>
  <c r="W68" i="12"/>
  <c r="W69" i="12"/>
  <c r="T68" i="12"/>
  <c r="T69" i="12" s="1"/>
  <c r="R68" i="12"/>
  <c r="P68" i="12"/>
  <c r="P69" i="12"/>
  <c r="O68" i="12"/>
  <c r="O69" i="12" s="1"/>
  <c r="W75" i="12"/>
  <c r="W76" i="12"/>
  <c r="T75" i="12"/>
  <c r="T76" i="12" s="1"/>
  <c r="R75" i="12"/>
  <c r="R76" i="12"/>
  <c r="P75" i="12"/>
  <c r="O75" i="12"/>
  <c r="W63" i="12"/>
  <c r="W53" i="12" s="1"/>
  <c r="T63" i="12"/>
  <c r="T53" i="12" s="1"/>
  <c r="R63" i="12"/>
  <c r="R53" i="12" s="1"/>
  <c r="P63" i="12"/>
  <c r="P53" i="12"/>
  <c r="W46" i="12"/>
  <c r="T46" i="12"/>
  <c r="R46" i="12"/>
  <c r="P46" i="12"/>
  <c r="N46" i="12" s="1"/>
  <c r="X46" i="12" s="1"/>
  <c r="O46" i="12"/>
  <c r="Y46" i="12" s="1"/>
  <c r="W44" i="12"/>
  <c r="T44" i="12"/>
  <c r="N44" i="12" s="1"/>
  <c r="X44" i="12" s="1"/>
  <c r="R44" i="12"/>
  <c r="P44" i="12"/>
  <c r="O44" i="12"/>
  <c r="Y44" i="12" s="1"/>
  <c r="R35" i="12"/>
  <c r="P35" i="12"/>
  <c r="R17" i="12"/>
  <c r="F19" i="18" s="1"/>
  <c r="P17" i="12"/>
  <c r="P13" i="12" s="1"/>
  <c r="C12" i="21" s="1"/>
  <c r="O17" i="12"/>
  <c r="O13" i="12" s="1"/>
  <c r="C11" i="21" s="1"/>
  <c r="W25" i="12"/>
  <c r="T25" i="12"/>
  <c r="R25" i="12"/>
  <c r="P25" i="12"/>
  <c r="O25" i="12"/>
  <c r="Y25" i="12" s="1"/>
  <c r="F108" i="18"/>
  <c r="F92" i="18"/>
  <c r="G92" i="18" s="1"/>
  <c r="F81" i="18"/>
  <c r="F64" i="18"/>
  <c r="G64" i="18" s="1"/>
  <c r="F58" i="18"/>
  <c r="G58" i="18" s="1"/>
  <c r="F50" i="18"/>
  <c r="F42" i="18"/>
  <c r="F24" i="18"/>
  <c r="F21" i="18"/>
  <c r="G21" i="18"/>
  <c r="B108" i="18"/>
  <c r="B104" i="18"/>
  <c r="C7" i="18"/>
  <c r="D13" i="18"/>
  <c r="D14" i="18"/>
  <c r="D15" i="18"/>
  <c r="D16" i="18" s="1"/>
  <c r="D17" i="18" s="1"/>
  <c r="D18" i="18" s="1"/>
  <c r="D19" i="18" s="1"/>
  <c r="D20" i="18" s="1"/>
  <c r="D21" i="18" s="1"/>
  <c r="D22" i="18" s="1"/>
  <c r="D23" i="18" s="1"/>
  <c r="D24" i="18" s="1"/>
  <c r="D25" i="18" s="1"/>
  <c r="D26" i="18" s="1"/>
  <c r="D27" i="18" s="1"/>
  <c r="D28" i="18" s="1"/>
  <c r="D29" i="18" s="1"/>
  <c r="D30" i="18" s="1"/>
  <c r="D31" i="18" s="1"/>
  <c r="D32" i="18" s="1"/>
  <c r="D33" i="18" s="1"/>
  <c r="D34" i="18" s="1"/>
  <c r="D35" i="18" s="1"/>
  <c r="D36" i="18" s="1"/>
  <c r="D37" i="18" s="1"/>
  <c r="D38" i="18" s="1"/>
  <c r="D39" i="18" s="1"/>
  <c r="D40" i="18" s="1"/>
  <c r="D41" i="18" s="1"/>
  <c r="D42" i="18" s="1"/>
  <c r="D43" i="18" s="1"/>
  <c r="D44" i="18" s="1"/>
  <c r="D45" i="18" s="1"/>
  <c r="D46" i="18" s="1"/>
  <c r="D47" i="18" s="1"/>
  <c r="D48" i="18" s="1"/>
  <c r="D49" i="18" s="1"/>
  <c r="D50" i="18" s="1"/>
  <c r="D51" i="18" s="1"/>
  <c r="D52" i="18" s="1"/>
  <c r="D53" i="18" s="1"/>
  <c r="D54" i="18" s="1"/>
  <c r="D55" i="18" s="1"/>
  <c r="D56" i="18" s="1"/>
  <c r="D57" i="18" s="1"/>
  <c r="D58" i="18" s="1"/>
  <c r="D59" i="18" s="1"/>
  <c r="D60" i="18" s="1"/>
  <c r="D61" i="18" s="1"/>
  <c r="D62" i="18" s="1"/>
  <c r="D63" i="18" s="1"/>
  <c r="D64" i="18" s="1"/>
  <c r="D65" i="18" s="1"/>
  <c r="D66" i="18" s="1"/>
  <c r="D67" i="18" s="1"/>
  <c r="D68" i="18" s="1"/>
  <c r="D69" i="18" s="1"/>
  <c r="D70" i="18" s="1"/>
  <c r="D71" i="18" s="1"/>
  <c r="D72" i="18" s="1"/>
  <c r="D73" i="18" s="1"/>
  <c r="D74" i="18" s="1"/>
  <c r="D75" i="18" s="1"/>
  <c r="D76" i="18" s="1"/>
  <c r="D77" i="18" s="1"/>
  <c r="D78" i="18" s="1"/>
  <c r="D79" i="18" s="1"/>
  <c r="D80" i="18" s="1"/>
  <c r="D81" i="18" s="1"/>
  <c r="D82" i="18" s="1"/>
  <c r="D83" i="18" s="1"/>
  <c r="D84" i="18" s="1"/>
  <c r="D85" i="18" s="1"/>
  <c r="D86" i="18" s="1"/>
  <c r="D87" i="18" s="1"/>
  <c r="D88" i="18" s="1"/>
  <c r="D89" i="18" s="1"/>
  <c r="D90" i="18" s="1"/>
  <c r="D91" i="18" s="1"/>
  <c r="D92" i="18" s="1"/>
  <c r="D93" i="18" s="1"/>
  <c r="D94" i="18" s="1"/>
  <c r="D95" i="18" s="1"/>
  <c r="D96" i="18" s="1"/>
  <c r="D97" i="18" s="1"/>
  <c r="O93" i="12"/>
  <c r="O83" i="12"/>
  <c r="R93" i="12"/>
  <c r="R69" i="12"/>
  <c r="P115" i="12"/>
  <c r="Y93" i="12"/>
  <c r="A11" i="5"/>
  <c r="O53" i="12"/>
  <c r="O33" i="12" s="1"/>
  <c r="Y33" i="12" s="1"/>
  <c r="W157" i="12"/>
  <c r="W22" i="12" s="1"/>
  <c r="W23" i="12" s="1"/>
  <c r="N160" i="12"/>
  <c r="X160" i="12" s="1"/>
  <c r="P83" i="12"/>
  <c r="U13" i="12"/>
  <c r="C17" i="21" s="1"/>
  <c r="R143" i="12"/>
  <c r="N29" i="12"/>
  <c r="X29" i="12" s="1"/>
  <c r="P108" i="12"/>
  <c r="N107" i="12"/>
  <c r="N108" i="12" s="1"/>
  <c r="G19" i="18"/>
  <c r="X92" i="12"/>
  <c r="O76" i="12"/>
  <c r="N111" i="12"/>
  <c r="O143" i="12"/>
  <c r="Y69" i="12"/>
  <c r="X68" i="12"/>
  <c r="Y143" i="12"/>
  <c r="X142" i="12"/>
  <c r="N63" i="12"/>
  <c r="X63" i="12" s="1"/>
  <c r="Y76" i="12"/>
  <c r="Y83" i="12"/>
  <c r="X111" i="12"/>
  <c r="O158" i="12"/>
  <c r="T108" i="12"/>
  <c r="R89" i="12"/>
  <c r="R90" i="12" s="1"/>
  <c r="X100" i="12"/>
  <c r="X93" i="12"/>
  <c r="Y108" i="12"/>
  <c r="O108" i="12"/>
  <c r="Y90" i="12"/>
  <c r="U136" i="12"/>
  <c r="W136" i="12"/>
  <c r="Q136" i="12"/>
  <c r="P136" i="12"/>
  <c r="V136" i="12"/>
  <c r="O136" i="12"/>
  <c r="N135" i="12"/>
  <c r="N136" i="12" s="1"/>
  <c r="X136" i="12" s="1"/>
  <c r="R136" i="12"/>
  <c r="T136" i="12"/>
  <c r="Y136" i="12"/>
  <c r="S136" i="12"/>
  <c r="G42" i="18"/>
  <c r="G50" i="18"/>
  <c r="C32" i="21"/>
  <c r="N21" i="12"/>
  <c r="X21" i="12" s="1"/>
  <c r="F17" i="18"/>
  <c r="G17" i="18" s="1"/>
  <c r="O35" i="12"/>
  <c r="Y35" i="12" s="1"/>
  <c r="Y36" i="12"/>
  <c r="X37" i="12"/>
  <c r="Y158" i="12"/>
  <c r="Y157" i="12"/>
  <c r="X40" i="12"/>
  <c r="G30" i="18"/>
  <c r="N54" i="12"/>
  <c r="X54" i="12" s="1"/>
  <c r="S121" i="12"/>
  <c r="S114" i="12" s="1"/>
  <c r="S115" i="12" s="1"/>
  <c r="W121" i="12"/>
  <c r="U121" i="12"/>
  <c r="P33" i="12"/>
  <c r="P30" i="12" s="1"/>
  <c r="U114" i="12"/>
  <c r="U115" i="12" s="1"/>
  <c r="W114" i="12"/>
  <c r="W115" i="12"/>
  <c r="X127" i="12"/>
  <c r="P26" i="12"/>
  <c r="N36" i="12"/>
  <c r="X36" i="12" s="1"/>
  <c r="A12" i="5"/>
  <c r="A14" i="5"/>
  <c r="A26" i="5"/>
  <c r="A13" i="5"/>
  <c r="A15" i="5"/>
  <c r="C34" i="21"/>
  <c r="G81" i="18"/>
  <c r="Y121" i="12"/>
  <c r="Y127" i="12"/>
  <c r="Y129" i="12"/>
  <c r="X122" i="12"/>
  <c r="O121" i="12"/>
  <c r="X121" i="12"/>
  <c r="Y114" i="12"/>
  <c r="Y115" i="12"/>
  <c r="A16" i="5"/>
  <c r="A17" i="5"/>
  <c r="A18" i="5"/>
  <c r="A19" i="5"/>
  <c r="A20" i="5"/>
  <c r="A21" i="5"/>
  <c r="A22" i="5"/>
  <c r="A23" i="5"/>
  <c r="A24" i="5"/>
  <c r="G18" i="18"/>
  <c r="Q33" i="12"/>
  <c r="Q34" i="12" s="1"/>
  <c r="Q26" i="12"/>
  <c r="Q27" i="12" s="1"/>
  <c r="X114" i="12"/>
  <c r="X115" i="12"/>
  <c r="X108" i="12"/>
  <c r="F30" i="18"/>
  <c r="S13" i="12"/>
  <c r="C15" i="21" s="1"/>
  <c r="W33" i="12"/>
  <c r="W30" i="12" s="1"/>
  <c r="S33" i="12"/>
  <c r="S34" i="12" s="1"/>
  <c r="X69" i="12"/>
  <c r="X143" i="12"/>
  <c r="Y100" i="12"/>
  <c r="X90" i="12"/>
  <c r="G97" i="18"/>
  <c r="C31" i="21" l="1"/>
  <c r="C29" i="21"/>
  <c r="C30" i="21"/>
  <c r="C35" i="21"/>
  <c r="E27" i="5"/>
  <c r="G29" i="5"/>
  <c r="E29" i="5" s="1"/>
  <c r="Y54" i="12"/>
  <c r="V158" i="12"/>
  <c r="N75" i="12"/>
  <c r="N76" i="12" s="1"/>
  <c r="X76" i="12" s="1"/>
  <c r="O22" i="12"/>
  <c r="N22" i="12" s="1"/>
  <c r="X22" i="12" s="1"/>
  <c r="N25" i="12"/>
  <c r="X25" i="12" s="1"/>
  <c r="E5" i="23"/>
  <c r="E8" i="23" s="1"/>
  <c r="C8" i="23"/>
  <c r="T33" i="12"/>
  <c r="T34" i="12" s="1"/>
  <c r="X107" i="12"/>
  <c r="V33" i="12"/>
  <c r="N35" i="12"/>
  <c r="X35" i="12" s="1"/>
  <c r="S26" i="12"/>
  <c r="S27" i="12" s="1"/>
  <c r="P34" i="12"/>
  <c r="S30" i="12"/>
  <c r="S31" i="12" s="1"/>
  <c r="Q30" i="12"/>
  <c r="Q31" i="12" s="1"/>
  <c r="P27" i="12"/>
  <c r="N157" i="12"/>
  <c r="X157" i="12" s="1"/>
  <c r="W158" i="12"/>
  <c r="N92" i="12"/>
  <c r="N93" i="12" s="1"/>
  <c r="Y17" i="12"/>
  <c r="P93" i="12"/>
  <c r="P76" i="12"/>
  <c r="F20" i="18"/>
  <c r="F18" i="18" s="1"/>
  <c r="N57" i="12"/>
  <c r="R121" i="12"/>
  <c r="R114" i="12" s="1"/>
  <c r="R115" i="12" s="1"/>
  <c r="N129" i="12"/>
  <c r="N127" i="12"/>
  <c r="V121" i="12"/>
  <c r="V114" i="12" s="1"/>
  <c r="V115" i="12" s="1"/>
  <c r="N121" i="12"/>
  <c r="N68" i="12"/>
  <c r="N69" i="12" s="1"/>
  <c r="N142" i="12"/>
  <c r="N143" i="12" s="1"/>
  <c r="N99" i="12"/>
  <c r="W89" i="12"/>
  <c r="U90" i="12"/>
  <c r="O100" i="12"/>
  <c r="O89" i="12"/>
  <c r="F32" i="18"/>
  <c r="G32" i="18" s="1"/>
  <c r="C16" i="21"/>
  <c r="N88" i="12"/>
  <c r="X88" i="12" s="1"/>
  <c r="V23" i="12"/>
  <c r="Y13" i="12"/>
  <c r="F16" i="18"/>
  <c r="G16" i="18" s="1"/>
  <c r="P23" i="12"/>
  <c r="X135" i="12"/>
  <c r="N82" i="12"/>
  <c r="N83" i="12" s="1"/>
  <c r="X83" i="12" s="1"/>
  <c r="W18" i="12"/>
  <c r="W14" i="12" s="1"/>
  <c r="D19" i="21" s="1"/>
  <c r="W31" i="12"/>
  <c r="P18" i="12"/>
  <c r="P31" i="12"/>
  <c r="W90" i="12"/>
  <c r="O114" i="12"/>
  <c r="X75" i="12"/>
  <c r="X99" i="12"/>
  <c r="N100" i="12"/>
  <c r="F49" i="18"/>
  <c r="W34" i="12"/>
  <c r="W26" i="12"/>
  <c r="W27" i="12" s="1"/>
  <c r="R13" i="12"/>
  <c r="T89" i="12"/>
  <c r="N53" i="12"/>
  <c r="X53" i="12" s="1"/>
  <c r="R33" i="12"/>
  <c r="U33" i="12"/>
  <c r="S89" i="12"/>
  <c r="N149" i="12"/>
  <c r="V89" i="12"/>
  <c r="V90" i="12" s="1"/>
  <c r="W17" i="12"/>
  <c r="Q89" i="12"/>
  <c r="N60" i="12"/>
  <c r="X60" i="12" s="1"/>
  <c r="Y53" i="12"/>
  <c r="O34" i="12"/>
  <c r="Y34" i="12" s="1"/>
  <c r="O26" i="12"/>
  <c r="O30" i="12"/>
  <c r="Y30" i="12" s="1"/>
  <c r="N158" i="12" l="1"/>
  <c r="X158" i="12" s="1"/>
  <c r="O23" i="12"/>
  <c r="Y23" i="12" s="1"/>
  <c r="Y22" i="12"/>
  <c r="T30" i="12"/>
  <c r="T31" i="12" s="1"/>
  <c r="T26" i="12"/>
  <c r="T27" i="12" s="1"/>
  <c r="X82" i="12"/>
  <c r="F31" i="18"/>
  <c r="H31" i="18" s="1"/>
  <c r="V26" i="12"/>
  <c r="V27" i="12" s="1"/>
  <c r="V30" i="12"/>
  <c r="V31" i="12" s="1"/>
  <c r="V34" i="12"/>
  <c r="F15" i="18"/>
  <c r="F14" i="18" s="1"/>
  <c r="O90" i="12"/>
  <c r="Y89" i="12"/>
  <c r="H81" i="18"/>
  <c r="N23" i="12"/>
  <c r="X23" i="12" s="1"/>
  <c r="N17" i="12"/>
  <c r="X17" i="12" s="1"/>
  <c r="W19" i="12"/>
  <c r="W13" i="12"/>
  <c r="U30" i="12"/>
  <c r="U34" i="12"/>
  <c r="U26" i="12"/>
  <c r="U27" i="12" s="1"/>
  <c r="N13" i="12"/>
  <c r="X13" i="12" s="1"/>
  <c r="C14" i="21"/>
  <c r="G49" i="18"/>
  <c r="F48" i="18"/>
  <c r="G48" i="18" s="1"/>
  <c r="N114" i="12"/>
  <c r="N115" i="12" s="1"/>
  <c r="O115" i="12"/>
  <c r="R26" i="12"/>
  <c r="R27" i="12" s="1"/>
  <c r="R30" i="12"/>
  <c r="R34" i="12"/>
  <c r="N150" i="12"/>
  <c r="X150" i="12" s="1"/>
  <c r="X149" i="12"/>
  <c r="P14" i="12"/>
  <c r="P19" i="12"/>
  <c r="N33" i="12"/>
  <c r="N34" i="12" s="1"/>
  <c r="X34" i="12" s="1"/>
  <c r="Q90" i="12"/>
  <c r="N89" i="12"/>
  <c r="Q18" i="12"/>
  <c r="S90" i="12"/>
  <c r="S18" i="12"/>
  <c r="T90" i="12"/>
  <c r="H92" i="18"/>
  <c r="V18" i="12"/>
  <c r="Y26" i="12"/>
  <c r="O27" i="12"/>
  <c r="Y27" i="12" s="1"/>
  <c r="O18" i="12"/>
  <c r="O31" i="12"/>
  <c r="Y31" i="12" s="1"/>
  <c r="G15" i="18" l="1"/>
  <c r="N30" i="12"/>
  <c r="X30" i="12" s="1"/>
  <c r="T18" i="12"/>
  <c r="T19" i="12" s="1"/>
  <c r="X33" i="12"/>
  <c r="G31" i="18"/>
  <c r="N26" i="12"/>
  <c r="X26" i="12" s="1"/>
  <c r="Q14" i="12"/>
  <c r="Q19" i="12"/>
  <c r="U31" i="12"/>
  <c r="U18" i="12"/>
  <c r="V14" i="12"/>
  <c r="V19" i="12"/>
  <c r="X89" i="12"/>
  <c r="N90" i="12"/>
  <c r="D12" i="21"/>
  <c r="P15" i="12"/>
  <c r="R31" i="12"/>
  <c r="R18" i="12"/>
  <c r="C19" i="21"/>
  <c r="F19" i="21" s="1"/>
  <c r="W15" i="12"/>
  <c r="H42" i="18"/>
  <c r="S19" i="12"/>
  <c r="S14" i="12"/>
  <c r="F13" i="18"/>
  <c r="G14" i="18"/>
  <c r="C10" i="21"/>
  <c r="C20" i="21"/>
  <c r="N31" i="12"/>
  <c r="X31" i="12" s="1"/>
  <c r="Y18" i="12"/>
  <c r="O19" i="12"/>
  <c r="Y19" i="12" s="1"/>
  <c r="O14" i="12"/>
  <c r="O15" i="12" s="1"/>
  <c r="Y15" i="12" s="1"/>
  <c r="D11" i="21"/>
  <c r="T14" i="12" l="1"/>
  <c r="Y14" i="12"/>
  <c r="N27" i="12"/>
  <c r="X27" i="12" s="1"/>
  <c r="D15" i="21"/>
  <c r="S15" i="12"/>
  <c r="E19" i="21"/>
  <c r="B37" i="21"/>
  <c r="F12" i="21"/>
  <c r="E12" i="21"/>
  <c r="V15" i="12"/>
  <c r="D18" i="21"/>
  <c r="R19" i="12"/>
  <c r="R14" i="12"/>
  <c r="N18" i="12"/>
  <c r="Q15" i="12"/>
  <c r="D13" i="21"/>
  <c r="U19" i="12"/>
  <c r="U14" i="12"/>
  <c r="G18" i="21"/>
  <c r="G14" i="21"/>
  <c r="G10" i="21"/>
  <c r="G15" i="21"/>
  <c r="G12" i="21"/>
  <c r="G17" i="21"/>
  <c r="G11" i="21"/>
  <c r="G19" i="21"/>
  <c r="G20" i="21"/>
  <c r="G16" i="21"/>
  <c r="G13" i="21"/>
  <c r="F12" i="18"/>
  <c r="G13" i="18"/>
  <c r="D16" i="21"/>
  <c r="T15" i="12"/>
  <c r="F11" i="21"/>
  <c r="E11" i="21"/>
  <c r="G12" i="18" l="1"/>
  <c r="F97" i="18"/>
  <c r="H12" i="18"/>
  <c r="F96" i="18"/>
  <c r="G96" i="18" s="1"/>
  <c r="U15" i="12"/>
  <c r="D17" i="21"/>
  <c r="X18" i="12"/>
  <c r="N19" i="12"/>
  <c r="X19" i="12" s="1"/>
  <c r="F18" i="21"/>
  <c r="E18" i="21"/>
  <c r="D14" i="21"/>
  <c r="R15" i="12"/>
  <c r="F16" i="21"/>
  <c r="E16" i="21"/>
  <c r="E13" i="21"/>
  <c r="F13" i="21"/>
  <c r="N14" i="12"/>
  <c r="F15" i="21"/>
  <c r="E15" i="21"/>
  <c r="F14" i="21" l="1"/>
  <c r="E14" i="21"/>
  <c r="D20" i="21"/>
  <c r="D10" i="21"/>
  <c r="F17" i="21"/>
  <c r="E17" i="21"/>
  <c r="N15" i="12"/>
  <c r="X15" i="12" s="1"/>
  <c r="H48" i="18"/>
  <c r="X14" i="12"/>
  <c r="F10" i="21" l="1"/>
  <c r="E10" i="21"/>
  <c r="H19" i="21"/>
  <c r="H11" i="21"/>
  <c r="H10" i="21"/>
  <c r="H17" i="21"/>
  <c r="H18" i="21"/>
  <c r="H16" i="21"/>
  <c r="H13" i="21"/>
  <c r="E20" i="21"/>
  <c r="H15" i="21"/>
  <c r="F20" i="21"/>
  <c r="H20" i="21"/>
  <c r="H14" i="21"/>
  <c r="H12" i="21"/>
</calcChain>
</file>

<file path=xl/comments1.xml><?xml version="1.0" encoding="utf-8"?>
<comments xmlns="http://schemas.openxmlformats.org/spreadsheetml/2006/main">
  <authors>
    <author>trsanmi</author>
    <author>Ahlin, Zinka</author>
    <author>DRGANCNE</author>
  </authors>
  <commentLis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trsanmi: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TEKOČI ODHODKI NE VSEBUJEJO ODHODKOV ZA OPREMO IZ DODIPLOMSKIH REDNIH PROGRAMOV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7" authorId="0">
      <text>
        <r>
          <rPr>
            <sz val="8"/>
            <color indexed="81"/>
            <rFont val="Tahoma"/>
            <family val="2"/>
            <charset val="238"/>
          </rPr>
          <t xml:space="preserve">trsanmi:
</t>
        </r>
        <r>
          <rPr>
            <sz val="10"/>
            <color indexed="81"/>
            <rFont val="Tahoma"/>
            <family val="2"/>
            <charset val="238"/>
          </rPr>
          <t>Te podatke vpiše le Uprava UL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91" authorId="0">
      <text>
        <r>
          <rPr>
            <sz val="8"/>
            <color indexed="81"/>
            <rFont val="Tahoma"/>
            <family val="2"/>
            <charset val="238"/>
          </rPr>
          <t xml:space="preserve">trsanmi:
</t>
        </r>
        <r>
          <rPr>
            <sz val="10"/>
            <color indexed="81"/>
            <rFont val="Tahoma"/>
            <family val="2"/>
            <charset val="238"/>
          </rPr>
          <t>Te podatke vpiše le Uprava UL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12" authorId="1">
      <text>
        <r>
          <rPr>
            <b/>
            <sz val="9"/>
            <color indexed="81"/>
            <rFont val="Tahoma"/>
            <family val="2"/>
            <charset val="238"/>
          </rPr>
          <t>Ahlin, Zinka:</t>
        </r>
        <r>
          <rPr>
            <sz val="9"/>
            <color indexed="81"/>
            <rFont val="Tahoma"/>
            <family val="2"/>
            <charset val="238"/>
          </rPr>
          <t xml:space="preserve">
141
</t>
        </r>
      </text>
    </comment>
    <comment ref="U112" authorId="1">
      <text>
        <r>
          <rPr>
            <b/>
            <sz val="9"/>
            <color indexed="81"/>
            <rFont val="Tahoma"/>
            <family val="2"/>
            <charset val="238"/>
          </rPr>
          <t>Ahlin, Zinka:</t>
        </r>
        <r>
          <rPr>
            <sz val="9"/>
            <color indexed="81"/>
            <rFont val="Tahoma"/>
            <family val="2"/>
            <charset val="238"/>
          </rPr>
          <t xml:space="preserve">
284
</t>
        </r>
      </text>
    </comment>
    <comment ref="B116" authorId="0">
      <text>
        <r>
          <rPr>
            <sz val="8"/>
            <color indexed="81"/>
            <rFont val="Tahoma"/>
            <family val="2"/>
            <charset val="238"/>
          </rPr>
          <t xml:space="preserve">trsanmi:
</t>
        </r>
        <r>
          <rPr>
            <sz val="10"/>
            <color indexed="81"/>
            <rFont val="Tahoma"/>
            <family val="2"/>
            <charset val="238"/>
          </rPr>
          <t>Te podatke vpiše le Uprava UL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21" authorId="0">
      <text>
        <r>
          <rPr>
            <b/>
            <sz val="8"/>
            <color indexed="81"/>
            <rFont val="Tahoma"/>
            <family val="2"/>
            <charset val="238"/>
          </rPr>
          <t>trsanmi: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Te podatke vpiše le FF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140" authorId="1">
      <text>
        <r>
          <rPr>
            <b/>
            <sz val="9"/>
            <color indexed="81"/>
            <rFont val="Tahoma"/>
            <family val="2"/>
            <charset val="238"/>
          </rPr>
          <t>Ahlin, Zinka:</t>
        </r>
        <r>
          <rPr>
            <sz val="9"/>
            <color indexed="81"/>
            <rFont val="Tahoma"/>
            <family val="2"/>
            <charset val="238"/>
          </rPr>
          <t xml:space="preserve">
283,293</t>
        </r>
      </text>
    </comment>
    <comment ref="D141" authorId="2">
      <text>
        <r>
          <rPr>
            <b/>
            <sz val="9"/>
            <color indexed="81"/>
            <rFont val="Tahoma"/>
            <family val="2"/>
            <charset val="238"/>
          </rPr>
          <t>DRGANCNE:</t>
        </r>
        <r>
          <rPr>
            <sz val="9"/>
            <color indexed="81"/>
            <rFont val="Tahoma"/>
            <family val="2"/>
            <charset val="238"/>
          </rPr>
          <t xml:space="preserve">
PRIHODKI IZ MVZT ZA NAJEMNINE VPISUJEJO SAMO AG, AGRFT, FF, FRI VKLUČUJE SE V AOP 405</t>
        </r>
        <r>
          <rPr>
            <sz val="8"/>
            <color indexed="81"/>
            <rFont val="Tahoma"/>
            <family val="2"/>
            <charset val="238"/>
          </rPr>
          <t xml:space="preserve">
 </t>
        </r>
      </text>
    </comment>
    <comment ref="O141" authorId="2">
      <text>
        <r>
          <rPr>
            <b/>
            <sz val="9"/>
            <color indexed="81"/>
            <rFont val="Tahoma"/>
            <family val="2"/>
            <charset val="238"/>
          </rPr>
          <t>DRGANCNE:</t>
        </r>
        <r>
          <rPr>
            <sz val="9"/>
            <color indexed="81"/>
            <rFont val="Tahoma"/>
            <family val="2"/>
            <charset val="238"/>
          </rPr>
          <t xml:space="preserve">
PRIHODKI IZ MVZT ZA NAJEMNINE VPISUJEJO SAMO AG, AGRFTV, FF, FRI VKLUČUJE SE V AOP 405</t>
        </r>
        <r>
          <rPr>
            <sz val="8"/>
            <color indexed="81"/>
            <rFont val="Tahoma"/>
            <family val="2"/>
            <charset val="238"/>
          </rPr>
          <t xml:space="preserve">
 </t>
        </r>
      </text>
    </comment>
    <comment ref="D147" authorId="0">
      <text>
        <r>
          <rPr>
            <b/>
            <sz val="10"/>
            <color indexed="81"/>
            <rFont val="Tahoma"/>
            <family val="2"/>
            <charset val="238"/>
          </rPr>
          <t>trsanmi:</t>
        </r>
        <r>
          <rPr>
            <sz val="10"/>
            <color indexed="81"/>
            <rFont val="Tahoma"/>
            <family val="2"/>
            <charset val="238"/>
          </rPr>
          <t xml:space="preserve">
sredstva MVZT prejeta za najemnino
</t>
        </r>
      </text>
    </comment>
    <comment ref="O147" authorId="0">
      <text>
        <r>
          <rPr>
            <b/>
            <sz val="10"/>
            <color indexed="81"/>
            <rFont val="Tahoma"/>
            <family val="2"/>
            <charset val="238"/>
          </rPr>
          <t>trsanmi:</t>
        </r>
        <r>
          <rPr>
            <sz val="10"/>
            <color indexed="81"/>
            <rFont val="Tahoma"/>
            <family val="2"/>
            <charset val="238"/>
          </rPr>
          <t xml:space="preserve">
sredstva MVZT prejeta za najemnino
</t>
        </r>
      </text>
    </comment>
    <comment ref="D159" authorId="0">
      <text>
        <r>
          <rPr>
            <b/>
            <sz val="8"/>
            <color indexed="81"/>
            <rFont val="Tahoma"/>
            <family val="2"/>
            <charset val="238"/>
          </rPr>
          <t>trsanmi: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Investicije pod vir MVZT vpisuje le Uprava UL</t>
        </r>
      </text>
    </comment>
    <comment ref="O159" authorId="0">
      <text>
        <r>
          <rPr>
            <b/>
            <sz val="8"/>
            <color indexed="81"/>
            <rFont val="Tahoma"/>
            <family val="2"/>
            <charset val="238"/>
          </rPr>
          <t>trsanmi: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Investicije pod vir MVZT vpisuje le Uprava UL</t>
        </r>
      </text>
    </comment>
    <comment ref="V159" authorId="1">
      <text>
        <r>
          <rPr>
            <b/>
            <sz val="9"/>
            <color indexed="81"/>
            <rFont val="Tahoma"/>
            <family val="2"/>
            <charset val="238"/>
          </rPr>
          <t>Ahlin, Zinka:</t>
        </r>
        <r>
          <rPr>
            <sz val="9"/>
            <color indexed="81"/>
            <rFont val="Tahoma"/>
            <family val="2"/>
            <charset val="238"/>
          </rPr>
          <t xml:space="preserve">
inv+literatua
</t>
        </r>
      </text>
    </comment>
    <comment ref="V161" authorId="1">
      <text>
        <r>
          <rPr>
            <b/>
            <sz val="9"/>
            <color indexed="81"/>
            <rFont val="Tahoma"/>
            <family val="2"/>
            <charset val="238"/>
          </rPr>
          <t>Ahlin, Zinka:</t>
        </r>
        <r>
          <rPr>
            <sz val="9"/>
            <color indexed="81"/>
            <rFont val="Tahoma"/>
            <family val="2"/>
            <charset val="238"/>
          </rPr>
          <t xml:space="preserve">
111
</t>
        </r>
      </text>
    </comment>
  </commentList>
</comments>
</file>

<file path=xl/sharedStrings.xml><?xml version="1.0" encoding="utf-8"?>
<sst xmlns="http://schemas.openxmlformats.org/spreadsheetml/2006/main" count="574" uniqueCount="427">
  <si>
    <t xml:space="preserve">Prispevki delodajalca </t>
  </si>
  <si>
    <t xml:space="preserve">Drugi osebni prejemki </t>
  </si>
  <si>
    <t>Prevoz na delo in z dela</t>
  </si>
  <si>
    <t>Regres za letni dopust</t>
  </si>
  <si>
    <t>Odpravnine ob upokojitvi</t>
  </si>
  <si>
    <t>Drugo</t>
  </si>
  <si>
    <t>Zap. št.</t>
  </si>
  <si>
    <t>Odgovorna oseba:</t>
  </si>
  <si>
    <t>Premije za dodatno pokojninsko zavarovanje</t>
  </si>
  <si>
    <t>Izdatki za blago in storitve</t>
  </si>
  <si>
    <t xml:space="preserve">Plače </t>
  </si>
  <si>
    <t>Investicijsko vzdrževanje</t>
  </si>
  <si>
    <t>Sredstva za sindikalne zaupnike</t>
  </si>
  <si>
    <t xml:space="preserve">Regresirana prehrana </t>
  </si>
  <si>
    <t>Jubilejne nagrade</t>
  </si>
  <si>
    <t>Plače in dodatno pokojninsko zavarovanje</t>
  </si>
  <si>
    <t>Priprava investicijske dokumentacije</t>
  </si>
  <si>
    <t>Intervencijska sredstva</t>
  </si>
  <si>
    <t>A</t>
  </si>
  <si>
    <t>SKUPAJ</t>
  </si>
  <si>
    <t>Visokošolska prijavno-informacijska služba</t>
  </si>
  <si>
    <t>Izdatki za blago in storitve za izvajanje študijske dejavnosti</t>
  </si>
  <si>
    <t>Podjemne pogodbe za izvajanje študijske dejavnosti</t>
  </si>
  <si>
    <t>MVZT</t>
  </si>
  <si>
    <t>B</t>
  </si>
  <si>
    <t>C</t>
  </si>
  <si>
    <t>Drugi viri</t>
  </si>
  <si>
    <t>Vrsta opreme</t>
  </si>
  <si>
    <t>Računalniška oprema</t>
  </si>
  <si>
    <t>Davek na izplačane plače</t>
  </si>
  <si>
    <t>Kraj in datum:</t>
  </si>
  <si>
    <t>ČLANICA UL:</t>
  </si>
  <si>
    <t>Oseba odgovorna za sestavljanje:</t>
  </si>
  <si>
    <t>Ime in priimek</t>
  </si>
  <si>
    <t>Telefon:</t>
  </si>
  <si>
    <t>ČLANICA:</t>
  </si>
  <si>
    <t>Žig:</t>
  </si>
  <si>
    <t>Nakup opreme</t>
  </si>
  <si>
    <t>NAZIV KONTA</t>
  </si>
  <si>
    <t>Oznaka za AOP</t>
  </si>
  <si>
    <t>1</t>
  </si>
  <si>
    <t>2</t>
  </si>
  <si>
    <t>3</t>
  </si>
  <si>
    <t>IZKAZ PRIHODKOV IN ODHODKOV DOLOČENIH UPORABNIKOV</t>
  </si>
  <si>
    <t>del 7400</t>
  </si>
  <si>
    <t xml:space="preserve">Prejeta sredstva iz državnega proračuna za tekočo porabo </t>
  </si>
  <si>
    <t xml:space="preserve">Prejeta sredstva iz državnega proračuna za investicijo </t>
  </si>
  <si>
    <t>del 7401</t>
  </si>
  <si>
    <t>Prejeta sredstva iz občinskih proračunov za tekočo porabo</t>
  </si>
  <si>
    <t>Prejeta sredstva iz občinskih proračunov za investicije</t>
  </si>
  <si>
    <t>del 7402</t>
  </si>
  <si>
    <t>Prejeta sredstva iz skladov socialnega zavarovanja tekočo porabo</t>
  </si>
  <si>
    <t>Prejeta sredstva iz skladov socialnega zavarovanja za investicije</t>
  </si>
  <si>
    <t>del 7403</t>
  </si>
  <si>
    <t>Prejeta sredstva izjavnih skladov za tekočo porabo</t>
  </si>
  <si>
    <t>Prejeta sredstva iz javnih skladov za investicije</t>
  </si>
  <si>
    <t>del 7404</t>
  </si>
  <si>
    <t>Prejeta sredstva iz javnih agencij za tekočo porabo</t>
  </si>
  <si>
    <t>Prejeta sredstva iz javnih agencij za investicije</t>
  </si>
  <si>
    <t>del 740</t>
  </si>
  <si>
    <t>e. Prejeta sredstva iz proračunov iz naslova tujih donacij</t>
  </si>
  <si>
    <t xml:space="preserve"> 741</t>
  </si>
  <si>
    <t>f. Prejeta sredstva iz državnega proračuna iz sredstev proračuna Evropske unije</t>
  </si>
  <si>
    <t>del 7130</t>
  </si>
  <si>
    <t>Prihodki od prodaje blaga in storitev iz naslova izvajanja javne službe</t>
  </si>
  <si>
    <t>del 7102</t>
  </si>
  <si>
    <t>Prejete obresti</t>
  </si>
  <si>
    <t>del 7141</t>
  </si>
  <si>
    <t>Drugi tekoči prihodki iz naslova izvajanja javne službe</t>
  </si>
  <si>
    <t>72</t>
  </si>
  <si>
    <t>Kapitalski prihodki</t>
  </si>
  <si>
    <t>730</t>
  </si>
  <si>
    <t>Prejete donacije iz domačih virov</t>
  </si>
  <si>
    <t>731</t>
  </si>
  <si>
    <t>Prejete donacije iz tujine</t>
  </si>
  <si>
    <t>732</t>
  </si>
  <si>
    <t>Donacije za odpravo posledic naravnih nesreč</t>
  </si>
  <si>
    <t>786</t>
  </si>
  <si>
    <t>Ostala prejeta sredstva iz proračuna Evropske unije</t>
  </si>
  <si>
    <t>787</t>
  </si>
  <si>
    <t>Prejeta sredstva od drugih evropskih institucij</t>
  </si>
  <si>
    <t>Prihodki od prodaje blaga in storitev na trgu</t>
  </si>
  <si>
    <t>del 7103</t>
  </si>
  <si>
    <t>Prihodki od najemnin, zakupnin in drugi prihodki od premoženja</t>
  </si>
  <si>
    <t xml:space="preserve">Drugi tekoči prihodki, ki ne izhajajo iz izvajanja javne službe </t>
  </si>
  <si>
    <t>del 4000</t>
  </si>
  <si>
    <t>Plače in dodatki</t>
  </si>
  <si>
    <t>del 4001</t>
  </si>
  <si>
    <t>del 4002</t>
  </si>
  <si>
    <t>Povračila in nadomestila</t>
  </si>
  <si>
    <t>del 4003</t>
  </si>
  <si>
    <t>Sredstva za delovno uspešnost</t>
  </si>
  <si>
    <t>del 4004</t>
  </si>
  <si>
    <t>Sredstva za nadurno delo</t>
  </si>
  <si>
    <t>del 4005</t>
  </si>
  <si>
    <t>Plače za delo nerezidenzov po pogodbi</t>
  </si>
  <si>
    <t>del 4009</t>
  </si>
  <si>
    <t>Drugi izdatki zaposlenim</t>
  </si>
  <si>
    <t>del 4010</t>
  </si>
  <si>
    <t>Prispevki za pokojninsko in invalidsko zavarovanje</t>
  </si>
  <si>
    <t>del 4011</t>
  </si>
  <si>
    <t>Prispevki za zdravstveno zavarovanje</t>
  </si>
  <si>
    <t>del 4012</t>
  </si>
  <si>
    <t>Prispevki za zaposlovanje</t>
  </si>
  <si>
    <t>del 4013</t>
  </si>
  <si>
    <t>Prispevki za porodniško varstvo</t>
  </si>
  <si>
    <t>del 4015</t>
  </si>
  <si>
    <t>Premije kolektivnega dodatnega pokojninskega zavarovanja na podlagi ZKDPZJU</t>
  </si>
  <si>
    <t>del 4020</t>
  </si>
  <si>
    <t xml:space="preserve">Pisarniški in splošni material in storitve </t>
  </si>
  <si>
    <t>del 4021</t>
  </si>
  <si>
    <t>Posebni material in storitve</t>
  </si>
  <si>
    <t>del 4022</t>
  </si>
  <si>
    <t>Energija, voda, komunalne storitve in komunikacije</t>
  </si>
  <si>
    <t>del 4023</t>
  </si>
  <si>
    <t>Prevozni stroški in storitve</t>
  </si>
  <si>
    <t>del 4024</t>
  </si>
  <si>
    <t>Izdatki za službena potovanja</t>
  </si>
  <si>
    <t>del 4025</t>
  </si>
  <si>
    <t>Tekoče vzdrževanje</t>
  </si>
  <si>
    <t>del 4026</t>
  </si>
  <si>
    <t>Poslovne najemnine in zakupnine</t>
  </si>
  <si>
    <t>del 4027</t>
  </si>
  <si>
    <t>Kazni in odškodnine</t>
  </si>
  <si>
    <t>del 4028</t>
  </si>
  <si>
    <t>del 4029</t>
  </si>
  <si>
    <t>Drugi operativni odhodki</t>
  </si>
  <si>
    <t>403</t>
  </si>
  <si>
    <t>D. Plačila domačih obresti</t>
  </si>
  <si>
    <t>404</t>
  </si>
  <si>
    <t>E. Plačila tujih obresti</t>
  </si>
  <si>
    <t>410</t>
  </si>
  <si>
    <t>F. Subvencije</t>
  </si>
  <si>
    <t>411</t>
  </si>
  <si>
    <t>G. Transferi posameznikom in gospodinjstvom</t>
  </si>
  <si>
    <t>412</t>
  </si>
  <si>
    <t>H. Transferi neprofitnim organizacijam in ustanovam</t>
  </si>
  <si>
    <t>413</t>
  </si>
  <si>
    <t>I. Drugi tekoči domači transferi</t>
  </si>
  <si>
    <t>4200</t>
  </si>
  <si>
    <t>Nakup zgradb in prostorov</t>
  </si>
  <si>
    <t>4201</t>
  </si>
  <si>
    <t>Nakup prevoznih sredstev</t>
  </si>
  <si>
    <t>4202</t>
  </si>
  <si>
    <t>4203</t>
  </si>
  <si>
    <t>Nakup drugih osnovnih sredstev</t>
  </si>
  <si>
    <t>4204</t>
  </si>
  <si>
    <t>Novogradnja, rekonstrukcija in adaptacije</t>
  </si>
  <si>
    <t>4205</t>
  </si>
  <si>
    <t>Investicijsko vzdrževanje in obnove</t>
  </si>
  <si>
    <t>4206</t>
  </si>
  <si>
    <t>Nakup zemljišč in naravnih bogastev</t>
  </si>
  <si>
    <t>4207</t>
  </si>
  <si>
    <t>Nakup nematerialnega premoženja</t>
  </si>
  <si>
    <t>4208</t>
  </si>
  <si>
    <t>Študije o izvedljivosti projektov, projektna dokumentacija, nadzor, investicijski inženiring</t>
  </si>
  <si>
    <t>4209</t>
  </si>
  <si>
    <t>Nakup blagovnih rezerv in intervencijskih zalog</t>
  </si>
  <si>
    <t>del 400</t>
  </si>
  <si>
    <t>A. Plače in drugi izdatki zaposlenim iz naslova prodaje blaga in storitev na trgu</t>
  </si>
  <si>
    <t>del 401</t>
  </si>
  <si>
    <t>B. Prispevki delodajalcev za socialno varnost iz naslova prodaje blaga in storitev na trgu</t>
  </si>
  <si>
    <t>del 402</t>
  </si>
  <si>
    <t>C. Izdatki za blago in storitve iz naslova prodaje blaga in storitev na trgu</t>
  </si>
  <si>
    <t>A I</t>
  </si>
  <si>
    <t>A II</t>
  </si>
  <si>
    <t>A III</t>
  </si>
  <si>
    <t>A IV</t>
  </si>
  <si>
    <t>B I</t>
  </si>
  <si>
    <t>B II</t>
  </si>
  <si>
    <t>Č</t>
  </si>
  <si>
    <t>D</t>
  </si>
  <si>
    <t>E</t>
  </si>
  <si>
    <t>F</t>
  </si>
  <si>
    <t>PROGRAMI  /  NAMENI</t>
  </si>
  <si>
    <t>1.</t>
  </si>
  <si>
    <t>1.1.</t>
  </si>
  <si>
    <t>(pripravljen po načelu denarnega toka v EUR)</t>
  </si>
  <si>
    <t>del 7100</t>
  </si>
  <si>
    <t>Prihodki od udeležbe na dobičku in dividend ter presežkov prihodkov nad odhodki</t>
  </si>
  <si>
    <t>ŠTUDIJSKA DEJAVNOST ODHODKI</t>
  </si>
  <si>
    <t>ŠTUDIJSKA DEJAVNOST PRIHODKI</t>
  </si>
  <si>
    <t>ŠTUDIJSKA DEJAVNOST RAZLIKA MED PRIHODKI IN ODHODKI</t>
  </si>
  <si>
    <t>DODIPLOMSKI REDNI PROGRAMI ODHODKI</t>
  </si>
  <si>
    <t>DODIPLOMSKI REDNI PROGRAMI PRIHODKI</t>
  </si>
  <si>
    <t>DODIPLOMSKI REDNI PROGRAMI RAZLIKA MED PRIHODKI IN ODHODKI</t>
  </si>
  <si>
    <t>OBŠTUDIJSKA DEJAVNOST PRIHODKI</t>
  </si>
  <si>
    <t>OBŠTUDIJSKA DEJAVNOST ODHODKI</t>
  </si>
  <si>
    <t>OBŠTUDIJSKA DEJAVNOST RAZLIKA MED PRIHODKI IN ODHODKI</t>
  </si>
  <si>
    <t>RAZVOJNE NALOGE PRIHODKI</t>
  </si>
  <si>
    <t>RAZVOJNE NALOGE ODHODKI</t>
  </si>
  <si>
    <t>RAZVOJNE NALOGE RAZLIKA MED PRIHODKI IN ODHODKI</t>
  </si>
  <si>
    <t>NACIONALNO POMEMBNE NALOGE PRIHODKI</t>
  </si>
  <si>
    <t>NACIONALNO POMEMBNE NALOGE ODHODKI</t>
  </si>
  <si>
    <t>NACIONALNO POMEMBNE NALOGE RAZLIKA MED PRIHODKI IN ODHODKI</t>
  </si>
  <si>
    <t>RAZISKOVALNA IN RAZVOJNA DEJAVNOST PRIHODKI</t>
  </si>
  <si>
    <t>RAZISKOVALNA IN RAZVOJNA DEJAVNOST ODHODKI</t>
  </si>
  <si>
    <t>RAZISKOVALNA IN RAZVOJNA DEJAVNOST RAZLIKA MED PRIHODKI IN ODHODKI</t>
  </si>
  <si>
    <t>INVESTICIJE IN INVESTICIJSKO VZDRŽEVANJE PRIHODKI</t>
  </si>
  <si>
    <t>INVESTICIJE IN INVESTICIJSKO VZDRŽEVANJE ODHODKI</t>
  </si>
  <si>
    <t>INVESTICIJE IN INVESTICIJSKO VZDRŽEVANJE RAZLIKA MED PRIHODKI IN ODHODKI</t>
  </si>
  <si>
    <t>DRUGO - DEJAVNOST JS PRIHODKI</t>
  </si>
  <si>
    <t>DRUGO - DEJAVNOST JS ODHODKI</t>
  </si>
  <si>
    <t>DRUGO - DEJAVNOST JS RAZLIKA MED PRIHODKI IN ODHODKI</t>
  </si>
  <si>
    <t xml:space="preserve">(po načelu denarnega toka v EUR) </t>
  </si>
  <si>
    <t xml:space="preserve">2.1. </t>
  </si>
  <si>
    <t>ČLENITEV KONTOV</t>
  </si>
  <si>
    <t xml:space="preserve">Odgovorna oseba: </t>
  </si>
  <si>
    <t>ŠTUDIJSKA DEJAVNOST + UNIVERZITETNI ŠPORT PRIHODKI</t>
  </si>
  <si>
    <t>ŠTUDIJSKA DEJAVNOST + UNIVERZITETNI ŠPORT ODHODKI</t>
  </si>
  <si>
    <t xml:space="preserve">ŠTUDIJSKA DEJAVNOST + UNIVERZITETNI ŠPORT RAZLIKA </t>
  </si>
  <si>
    <t>UNIVERZITETNI ŠPORT PRIHODKI</t>
  </si>
  <si>
    <t>UNIVERZITETNI ŠPORT ODHODKI</t>
  </si>
  <si>
    <t>UNIVERZITETNI ŠPORT RAZLIKA</t>
  </si>
  <si>
    <t>INTERESNE DEJAVNOSTI ŠTUDENTOV PRIHODKI</t>
  </si>
  <si>
    <t>INTERESNE DEJAVNOSTI ŠTUDENTOV ODHODKI</t>
  </si>
  <si>
    <t>INTERESNE DEJAVNOSTI ŠTUDENTOV RAZLIKA</t>
  </si>
  <si>
    <t>VIRI PRIHODKOV / ODHODKOV</t>
  </si>
  <si>
    <t>ARRS, TIA, JAPTI, JAK</t>
  </si>
  <si>
    <t>I. SKUPAJ PRIHODKI
(402+431)</t>
  </si>
  <si>
    <t>1. PRIHODKI ZA IZVAJANJE JAVNE SLUŽBE
(403+420)</t>
  </si>
  <si>
    <t>A. Prihodki iz sredstev javnih financ
(404+407+410+413+418+419)</t>
  </si>
  <si>
    <t>a. Prejeta sredstva iz državnega proračuna
(405+406)</t>
  </si>
  <si>
    <t>b. Prejeta sredstva iz občinskih proračunov 
(408+409)</t>
  </si>
  <si>
    <t>c. Prejeta sredstva iz skladov socialnega zavarovanja
(411+412)</t>
  </si>
  <si>
    <t>d. Prejeta sredstva iz javnih skladov in agencij
(414+415+416+417)</t>
  </si>
  <si>
    <t>B) Drugi prihodki za izvajanje dejavnosti javne službe
(421 do 430)</t>
  </si>
  <si>
    <t>2. PRIHODKI OD PRODAJE BLAGA IN STORITEV NA TRGU
(432 do 436)</t>
  </si>
  <si>
    <t>II. SKUPAJ ODHODKI
(438+481)</t>
  </si>
  <si>
    <t>1. ODHODKI ZA IZVAJANJE JAVNE SLUŽBE
(439+447+453+464+465+466+467+468+469+470)</t>
  </si>
  <si>
    <t>A. Plače in drugi izdatki zaposlenim
(440 do 446)</t>
  </si>
  <si>
    <t>B. Prispevki delodajalcev za socialno varnost
(448 do 452)</t>
  </si>
  <si>
    <t>C. Izdatki za blago in storitve za izvajanje javne službe
(454 do 463)</t>
  </si>
  <si>
    <t>J. Investicijski odhodki
(371 do 480)</t>
  </si>
  <si>
    <t>2. ODHODKI IZ NASLOVA PRODAJE BLAGA IN STORITEV NA TRGU
(482+483+484)</t>
  </si>
  <si>
    <t>III/1 PRESEŽEK PRIHODKOV NAD ODHODKI
(401-437)</t>
  </si>
  <si>
    <t>III/2 PRESEŽEK ODHODKOV NAD PRIHODKI
(437-401)</t>
  </si>
  <si>
    <t>VIRI POKRIVANJA ODHODKOV</t>
  </si>
  <si>
    <t>Prioriteta - namen opreme</t>
  </si>
  <si>
    <t>Specifikacija opreme</t>
  </si>
  <si>
    <t>VREDNOST V EUR</t>
  </si>
  <si>
    <t>1. oprema, ki jo je potrebno zamenjati zaradi neuporabnosti (tehnološka zastarelost, okvare, poškodbe) in sicer neposredno v učilnicah, laboratorijih in prostorih, kjer se izvaja pedagoški proces</t>
  </si>
  <si>
    <t>2. oprema, ki je potrebna zaradi novosti v izvajanju programov in sodobnejših metod dela s študenti in pohištvo učilnic</t>
  </si>
  <si>
    <t>3. predstavlja pohištvo kabinetov in drugih prostorov administracije in sicer v deležu, ki ga izračunate na podlagi deleža prihodkov študijske dejavnosti glede na druge dejavnosti</t>
  </si>
  <si>
    <t>Aparati in druga oprema</t>
  </si>
  <si>
    <t>SKUPAJ PRIHODKI ZA TEKOČO PORABO</t>
  </si>
  <si>
    <t>SKUPAJ ODHODKI ZA TEKOČO PORABO</t>
  </si>
  <si>
    <t>SKUPAJ RAZLIKA MED PRIHODKI IN ODHODKI ZA TEKOČO PORABO</t>
  </si>
  <si>
    <t>Druga ministrstva</t>
  </si>
  <si>
    <t>Občinski proračunski viri</t>
  </si>
  <si>
    <t>Trg</t>
  </si>
  <si>
    <t>422 do 428+430</t>
  </si>
  <si>
    <t xml:space="preserve">SKUPAJ PRIHODKI </t>
  </si>
  <si>
    <t xml:space="preserve">SKUPAJ ODHODKI </t>
  </si>
  <si>
    <t xml:space="preserve">SKUPAJ RAZLIKA MED PRIHODKI IN ODHODKI </t>
  </si>
  <si>
    <t>Č1</t>
  </si>
  <si>
    <t>Č2</t>
  </si>
  <si>
    <t>Izdatki za blago in storitve za tekmovanje študentov in sodelovanje na natečajih</t>
  </si>
  <si>
    <t>Izdatki za blago in storitve za ekskurzij ein strokovne oglede</t>
  </si>
  <si>
    <t>Izdatki za blago in storitve za okrogle mize in predavanja</t>
  </si>
  <si>
    <t>Izdatki za blago in storitve za raziskovalne naloge in publikacije</t>
  </si>
  <si>
    <t>Šolska učila in oprema učilnic</t>
  </si>
  <si>
    <t>Laboratorijska oprema</t>
  </si>
  <si>
    <t>Drugo pohištvo</t>
  </si>
  <si>
    <t>AOP prihodki</t>
  </si>
  <si>
    <t xml:space="preserve">Sredstva za odpravo plačnih nesorazmerij </t>
  </si>
  <si>
    <t xml:space="preserve">Investicije </t>
  </si>
  <si>
    <t>Drugo skupaj:</t>
  </si>
  <si>
    <t>Prispevek za vzpodbujanje zaposlovanja invalidov po ZZRZI</t>
  </si>
  <si>
    <t>Oprema za Računalniški center UL</t>
  </si>
  <si>
    <t>1=2+3+4+5+6+7+8+9+10</t>
  </si>
  <si>
    <t>G</t>
  </si>
  <si>
    <t>TRŽNA DEJAVNOST PRIHODKI</t>
  </si>
  <si>
    <t>TRŽNA DEJAVNOST ODHODKI</t>
  </si>
  <si>
    <t>TRŽNA DEJAVNOST RAZLIKA MED PRIHODKI IN ODHODKI</t>
  </si>
  <si>
    <t>Sredstva za plače (osnova) - izplačane plače v decembru 09/10</t>
  </si>
  <si>
    <t xml:space="preserve">Sredstva za redno napredovanje </t>
  </si>
  <si>
    <t>Sredstva za nove zaposlitve</t>
  </si>
  <si>
    <t xml:space="preserve">Oprema </t>
  </si>
  <si>
    <t>SKUPAJ PRIHODKI ZA INVESTICIJE IN INVESTICIJSKO VZDRŽEVANJE</t>
  </si>
  <si>
    <t>SKUPAJ ODHODKI ZA INVESTICIJE IN INVESTICIJSKO VZDRŽEVANJE</t>
  </si>
  <si>
    <t>SKUPAJ RAZLIKA MED PRIHODKI IN ODHODKI ZA INVESTICIJE…</t>
  </si>
  <si>
    <t>1a</t>
  </si>
  <si>
    <t>1a1</t>
  </si>
  <si>
    <t>1a2</t>
  </si>
  <si>
    <t>1a3</t>
  </si>
  <si>
    <t>1a4</t>
  </si>
  <si>
    <t>1a5</t>
  </si>
  <si>
    <t>1a6</t>
  </si>
  <si>
    <t>1b</t>
  </si>
  <si>
    <t>2a</t>
  </si>
  <si>
    <t>3a</t>
  </si>
  <si>
    <t>3b</t>
  </si>
  <si>
    <t>3c</t>
  </si>
  <si>
    <t>3č</t>
  </si>
  <si>
    <t>3d</t>
  </si>
  <si>
    <t>3e</t>
  </si>
  <si>
    <t>4a</t>
  </si>
  <si>
    <t>4b</t>
  </si>
  <si>
    <t>4č</t>
  </si>
  <si>
    <t>4c</t>
  </si>
  <si>
    <t>Vir sredstev</t>
  </si>
  <si>
    <t>Prihodki iz prodaje na trgu   
v EUR</t>
  </si>
  <si>
    <t>Prihodki od gospodarskih družb in samost. podjetnikov</t>
  </si>
  <si>
    <t>Prihodki od javnega sektorja v Sloveniji</t>
  </si>
  <si>
    <t>Prihodki od najemnin za poslovne in druge prostore</t>
  </si>
  <si>
    <t>Prihodki od gospodarskih družb iz tujine</t>
  </si>
  <si>
    <t>Drugi prihodki iz mednarodnih projektov</t>
  </si>
  <si>
    <t>Izdatki za blago in storitve Računalniškega centra UL</t>
  </si>
  <si>
    <t>4c1</t>
  </si>
  <si>
    <t>Izdatki za blago in storitve IRD</t>
  </si>
  <si>
    <t>Izdatki za opremo IRD</t>
  </si>
  <si>
    <t>4č1</t>
  </si>
  <si>
    <t>IZREDNI PROGRAMI 1. in 2. STOPNJE PRIHODKI</t>
  </si>
  <si>
    <t>IZREDNI PROGRAMI 1. in 2. STOPNJE ODHODKI</t>
  </si>
  <si>
    <t>IZREDNI PROGRAMI 1. in 2. STOPNJE RAZLIKA MED PRIHODKI IN ODHODKI</t>
  </si>
  <si>
    <t>4e</t>
  </si>
  <si>
    <t>4e1</t>
  </si>
  <si>
    <t>4e2</t>
  </si>
  <si>
    <t>Drugi izdatki za blago in storitve:</t>
  </si>
  <si>
    <t>Izdatki za delovanje Računalniškega centra UL:</t>
  </si>
  <si>
    <t>izdatki za Individualno raziskovalno delo - IRD:</t>
  </si>
  <si>
    <t>REDNI PROGRAMI 2. STOPNJE PRIHODKI</t>
  </si>
  <si>
    <t>REDNI PROGRAMI 2. STOPNJE ODHODKI</t>
  </si>
  <si>
    <t>REDNI PROGRAMI 2. STOPNJE RAZLIKA MED PRIHODKI IN ODHODKI</t>
  </si>
  <si>
    <t>PROGRAMI za STARE PODIPLOMSKE ST. in NOVO 3. ST. PRIHODKI</t>
  </si>
  <si>
    <t>PROGRAMI za STARE PODIPLOMSKE ST. in NOVO 3. ST. ODHODKI</t>
  </si>
  <si>
    <t>PROGRAMI za STARE PODIPLOMSKE ST. in NOVO 3. ST. RAZLIKA MED PRIH. IN ODH.</t>
  </si>
  <si>
    <t>7=6/5</t>
  </si>
  <si>
    <t>13=3/3</t>
  </si>
  <si>
    <t>14=4/4</t>
  </si>
  <si>
    <t>4d</t>
  </si>
  <si>
    <t>Izdatki za opremo</t>
  </si>
  <si>
    <t xml:space="preserve">Izdatki za blago in storitve </t>
  </si>
  <si>
    <t>5c2</t>
  </si>
  <si>
    <t>5č2</t>
  </si>
  <si>
    <t>PRIORITETA - NAMEN OPREME:</t>
  </si>
  <si>
    <t xml:space="preserve">VRSTA OPREME: </t>
  </si>
  <si>
    <t>Drugi izdatki za blago in storitve: __________________________</t>
  </si>
  <si>
    <t>5e2</t>
  </si>
  <si>
    <t>Druga oprema:__________________________</t>
  </si>
  <si>
    <t>Skrb za slovenščino - najemnine za tuje lektorje</t>
  </si>
  <si>
    <t>Skrb za slovenščino - poletne šole in seminarji</t>
  </si>
  <si>
    <t>Skrb za slovenščino skupaj</t>
  </si>
  <si>
    <t>Skrb za slovenščino - delovanje lektoratov slovenskega jezika</t>
  </si>
  <si>
    <t>Č2a</t>
  </si>
  <si>
    <t>Č2b</t>
  </si>
  <si>
    <t>Č2c</t>
  </si>
  <si>
    <t>Članica</t>
  </si>
  <si>
    <t>Razlika med prihodki in odhodki</t>
  </si>
  <si>
    <t>Skupaj javna služba</t>
  </si>
  <si>
    <t>2b</t>
  </si>
  <si>
    <t>410+413+418+
422 do 428+430</t>
  </si>
  <si>
    <t>5a</t>
  </si>
  <si>
    <t>5b</t>
  </si>
  <si>
    <t>5c</t>
  </si>
  <si>
    <t>5č</t>
  </si>
  <si>
    <t>5d</t>
  </si>
  <si>
    <t>Cenik storitev UL: sredstva od prodaje blaga in storitev iz naslova izvajanja JS</t>
  </si>
  <si>
    <t>6. in 7. OP, Cmepius, drugi projekti iz sredstev pror. EU,…</t>
  </si>
  <si>
    <t>Sredstva iz državnega prororačuna Iz sredstev
 proračuna EU: ESS, ESSR…</t>
  </si>
  <si>
    <t>Ostala sredstva iz proračuna EU: 6. in 7. OP, Cmepius in drugi projekti iz pror. EU</t>
  </si>
  <si>
    <t>Evropski strukturni skladi (ESS; ESSR), kohezijska politika</t>
  </si>
  <si>
    <t>Oznaka
AOP
za prihodke</t>
  </si>
  <si>
    <t>Prihodki 
v EUR</t>
  </si>
  <si>
    <t>Odhodki 
v EUR</t>
  </si>
  <si>
    <t>410+413+418+422 do 428+430</t>
  </si>
  <si>
    <t>Med tržnimi odhodki so izkazane tudi investicije iz tržnih virov, čeprav se te v izkazu prihodkov-odhodkov izkazujejo pod javno službo.</t>
  </si>
  <si>
    <t>MVZT - oprema, povezana s pedagoško dejavnostjo
FN pog. G, vrstica 5b</t>
  </si>
  <si>
    <t>MVZT - drugo
FN pog. AI, vrstica 5</t>
  </si>
  <si>
    <t>Kontrola</t>
  </si>
  <si>
    <t>Sestava posameznih odhodkov</t>
  </si>
  <si>
    <t>Sestava posameznih prihodkov</t>
  </si>
  <si>
    <t>Delež prihodkov v odhodkih</t>
  </si>
  <si>
    <t>delež posameznih prihodkov
 glede na celotne tržne prihodke</t>
  </si>
  <si>
    <t>KONCESIJSKA DEJAVNOST ČLANIC</t>
  </si>
  <si>
    <t xml:space="preserve">2.2. </t>
  </si>
  <si>
    <t xml:space="preserve">POSEBNI DEL POROČILA UNIVERZE V LJUBLJANI </t>
  </si>
  <si>
    <t>ZA LETO 2011</t>
  </si>
  <si>
    <t>POSEBNI DEL POROČILA UNIVERZE V LJUBLJANI ZA LETO 2011 - Splošni del</t>
  </si>
  <si>
    <t>REALIZACIJA 2011</t>
  </si>
  <si>
    <t xml:space="preserve"> REALIZACIJA  PRIHODKOV /
ODHODKOV
2011</t>
  </si>
  <si>
    <t>Zap.št. programa /
namena</t>
  </si>
  <si>
    <t>Naziv programa / namena</t>
  </si>
  <si>
    <t>POSEBNI DEL POROČILA UNIVERZE V LJUBLJANI ZA LETO 2011 - OBRAZLOŽITEV - Posebni del</t>
  </si>
  <si>
    <t>2.3.  POSEBNI DEL POROČILA UNIVERZE V LJUBLJANI ZA LETO 2011 - OPREMA - Posebni del</t>
  </si>
  <si>
    <t>POSEBNI DEL POROČILA UNIVERZE V LJUBLJANI ZA LETO 2011 - PO EKONOMSKI STRUKTURI IN NAMENU - Posebni del</t>
  </si>
  <si>
    <t>2.4. POSEBNI DEL POROČILA UNIVERZE V LJUBLJANI ZA LETO 2011 - STRUKTURA - Posebni del</t>
  </si>
  <si>
    <t>norveški mehanizem, Lisum, Basileus…</t>
  </si>
  <si>
    <t>FINANČNI NAČRT 2011</t>
  </si>
  <si>
    <t>Realizacija 2011/
FN 2011</t>
  </si>
  <si>
    <t xml:space="preserve"> NAČRT  PRIHODKOV /
ODHODKOV
2011</t>
  </si>
  <si>
    <t>Realizacija 2011 / Finančni načrt 2011</t>
  </si>
  <si>
    <t>Realizacija 2011 / Finančni načrt 2011
(samo vir
MVZT)</t>
  </si>
  <si>
    <t>Obrazložitev indeksov v koloni 13 tabele na listu FN 2011-Realizacija 2011 ter druga potrebna pojasnila</t>
  </si>
  <si>
    <t>FAKULTETA ZA KEMIJO IN KEMIJSKO TEHNOLOGIJO</t>
  </si>
  <si>
    <t>izpis gk</t>
  </si>
  <si>
    <t>Ljubljana, 29.02.2012</t>
  </si>
  <si>
    <t>Ljudmila Obreza, dipl,ekon.</t>
  </si>
  <si>
    <t>01 2419-100</t>
  </si>
  <si>
    <t>Prof.dr. Anton Meden, dekan</t>
  </si>
  <si>
    <t>G.5</t>
  </si>
  <si>
    <t>Investicije in investicijsko vzdrževanje</t>
  </si>
  <si>
    <t xml:space="preserve">Večji del razlik (prihodki in odhodki) lahko pojasnimo z zamikom prilivov in odlivov plačil </t>
  </si>
  <si>
    <t>Stroški za Izvajanje rednih programov 2.stopnje se še ne opredeljujejo ločeno ob nastanku poslovnega dogodka. Stroški in prihodki so prikazani v okviru dodiplomskih rednih programov</t>
  </si>
  <si>
    <t>Dodiplomski redni programi</t>
  </si>
  <si>
    <t>F.</t>
  </si>
  <si>
    <t>Tržna dejavnost</t>
  </si>
  <si>
    <t>Stroški za plače in prispevke so višji glede na plan zaradi kritja 30% lastne udeležbe za izvajanje kompetenčnega centra TIGR</t>
  </si>
  <si>
    <t>G.5.a</t>
  </si>
  <si>
    <t>Stroški za nabavo strokovne literature, ki so evidentirani na kontih skupine 42 so v realizaciji prikazani pod investicijami</t>
  </si>
  <si>
    <t>A.1.4.č</t>
  </si>
  <si>
    <t>IRD</t>
  </si>
  <si>
    <t>A.IV.</t>
  </si>
  <si>
    <t>A.I.</t>
  </si>
  <si>
    <t>Programi za stare podiplomske št. in novo 3.st.</t>
  </si>
  <si>
    <t>Prihodki iz vira MVZT niso bili planirani (pogodba sklenjena naknadno)</t>
  </si>
  <si>
    <t xml:space="preserve">poraba sredstev za IRD je bila planiranana na osnovi razmerij (materialni stroški/oprema) preteklih let </t>
  </si>
  <si>
    <t>strok.literatura</t>
  </si>
  <si>
    <t>računalniško vozlišče</t>
  </si>
  <si>
    <t>stružnica</t>
  </si>
  <si>
    <t>klimatske naprave, hladilniki, sesalnik, mikrovalovna pečica, telefoni, fotoaparat</t>
  </si>
  <si>
    <t>projektor,računalniki in monitorji za rač.učilnico</t>
  </si>
  <si>
    <t>uparjalnik, LC/MS, vrstični mikroskop, NMR</t>
  </si>
  <si>
    <t>računalniki, tiskalniki, strežniki, monitorji, prenosni računalniki,progr.oprema, licence in drobna računalniška oprema,diskovno polje</t>
  </si>
  <si>
    <t>kromatograf, spektrometri, termostat, centrifuga, črpalka, tehtnica, magnetna mešala, sistem za čiščenje vode, stresalnik, temperaturna komora, homogenizator, avtoklav,UZ čistilnik, rotavapor, plinski kromatograf,merilec klorofila, termična omara, Ph meter, rotameter</t>
  </si>
  <si>
    <t>stoli, pisalne mize,predalniki, police, omare, pulti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</si>
</sst>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00"/>
    <numFmt numFmtId="166" formatCode="#,##0_ ;[Red]\-#,##0\ "/>
  </numFmts>
  <fonts count="7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1"/>
      <color indexed="9"/>
      <name val="Arial CE"/>
      <family val="2"/>
      <charset val="238"/>
    </font>
    <font>
      <sz val="11"/>
      <color indexed="9"/>
      <name val="Arial CE"/>
      <family val="2"/>
      <charset val="238"/>
    </font>
    <font>
      <sz val="11"/>
      <name val="Arial CE"/>
      <family val="2"/>
      <charset val="238"/>
    </font>
    <font>
      <b/>
      <sz val="13"/>
      <name val="Arial CE"/>
      <family val="2"/>
      <charset val="238"/>
    </font>
    <font>
      <b/>
      <i/>
      <sz val="13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color indexed="9"/>
      <name val="Arial CE"/>
      <family val="2"/>
      <charset val="238"/>
    </font>
    <font>
      <sz val="10"/>
      <color indexed="9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sz val="11"/>
      <color indexed="9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sz val="8"/>
      <name val="Arial CE"/>
      <family val="2"/>
      <charset val="238"/>
    </font>
    <font>
      <b/>
      <sz val="11"/>
      <color indexed="9"/>
      <name val="Arial CE"/>
      <charset val="238"/>
    </font>
    <font>
      <i/>
      <sz val="10"/>
      <name val="Arial CE"/>
      <charset val="238"/>
    </font>
    <font>
      <b/>
      <i/>
      <sz val="11"/>
      <name val="Arial CE"/>
      <charset val="238"/>
    </font>
    <font>
      <b/>
      <i/>
      <sz val="11"/>
      <color indexed="9"/>
      <name val="Arial CE"/>
      <charset val="238"/>
    </font>
    <font>
      <b/>
      <sz val="12"/>
      <color indexed="9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sz val="12"/>
      <color indexed="9"/>
      <name val="Arial CE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indexed="9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9"/>
      <name val="Arial CE"/>
      <charset val="238"/>
    </font>
    <font>
      <i/>
      <sz val="10"/>
      <color indexed="9"/>
      <name val="Arial CE"/>
      <charset val="238"/>
    </font>
    <font>
      <sz val="9"/>
      <color indexed="81"/>
      <name val="Tahoma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sz val="16"/>
      <name val="Arial CE"/>
      <charset val="238"/>
    </font>
    <font>
      <sz val="12"/>
      <name val="Arial"/>
      <family val="2"/>
      <charset val="238"/>
    </font>
    <font>
      <b/>
      <sz val="1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3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1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3"/>
      <color theme="1"/>
      <name val="Arial CE"/>
      <family val="2"/>
      <charset val="238"/>
    </font>
    <font>
      <b/>
      <i/>
      <sz val="13"/>
      <color theme="1"/>
      <name val="Arial CE"/>
      <family val="2"/>
      <charset val="238"/>
    </font>
    <font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 style="hair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95">
    <xf numFmtId="0" fontId="0" fillId="0" borderId="0" xfId="0"/>
    <xf numFmtId="0" fontId="2" fillId="0" borderId="0" xfId="1" applyAlignment="1">
      <alignment horizontal="center"/>
    </xf>
    <xf numFmtId="0" fontId="2" fillId="0" borderId="0" xfId="1"/>
    <xf numFmtId="0" fontId="7" fillId="0" borderId="0" xfId="1" applyFont="1"/>
    <xf numFmtId="0" fontId="8" fillId="0" borderId="0" xfId="1" applyFont="1"/>
    <xf numFmtId="0" fontId="10" fillId="0" borderId="0" xfId="1" applyFont="1"/>
    <xf numFmtId="3" fontId="10" fillId="2" borderId="1" xfId="1" applyNumberFormat="1" applyFont="1" applyFill="1" applyBorder="1"/>
    <xf numFmtId="3" fontId="7" fillId="0" borderId="1" xfId="1" applyNumberFormat="1" applyFont="1" applyBorder="1"/>
    <xf numFmtId="3" fontId="10" fillId="2" borderId="2" xfId="1" applyNumberFormat="1" applyFont="1" applyFill="1" applyBorder="1" applyAlignment="1">
      <alignment horizontal="right"/>
    </xf>
    <xf numFmtId="0" fontId="13" fillId="0" borderId="0" xfId="1" applyFont="1"/>
    <xf numFmtId="0" fontId="14" fillId="0" borderId="0" xfId="1" applyFont="1"/>
    <xf numFmtId="0" fontId="6" fillId="0" borderId="0" xfId="1" applyFont="1"/>
    <xf numFmtId="0" fontId="5" fillId="0" borderId="0" xfId="1" applyFont="1"/>
    <xf numFmtId="0" fontId="2" fillId="0" borderId="0" xfId="1" applyFont="1"/>
    <xf numFmtId="0" fontId="12" fillId="0" borderId="0" xfId="0" applyFont="1" applyFill="1"/>
    <xf numFmtId="3" fontId="10" fillId="3" borderId="1" xfId="1" applyNumberFormat="1" applyFont="1" applyFill="1" applyBorder="1"/>
    <xf numFmtId="3" fontId="10" fillId="3" borderId="2" xfId="1" applyNumberFormat="1" applyFont="1" applyFill="1" applyBorder="1" applyAlignment="1">
      <alignment horizontal="right"/>
    </xf>
    <xf numFmtId="3" fontId="10" fillId="2" borderId="2" xfId="1" applyNumberFormat="1" applyFont="1" applyFill="1" applyBorder="1"/>
    <xf numFmtId="3" fontId="10" fillId="3" borderId="2" xfId="1" applyNumberFormat="1" applyFon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/>
    <xf numFmtId="0" fontId="17" fillId="0" borderId="0" xfId="0" applyFont="1" applyBorder="1" applyProtection="1">
      <protection locked="0"/>
    </xf>
    <xf numFmtId="0" fontId="17" fillId="0" borderId="0" xfId="0" applyFont="1" applyBorder="1" applyAlignment="1">
      <alignment horizontal="right"/>
    </xf>
    <xf numFmtId="3" fontId="19" fillId="0" borderId="1" xfId="1" applyNumberFormat="1" applyFont="1" applyFill="1" applyBorder="1"/>
    <xf numFmtId="0" fontId="20" fillId="0" borderId="0" xfId="1" applyFont="1" applyFill="1"/>
    <xf numFmtId="0" fontId="19" fillId="0" borderId="0" xfId="1" applyFont="1" applyFill="1"/>
    <xf numFmtId="3" fontId="10" fillId="3" borderId="1" xfId="1" applyNumberFormat="1" applyFont="1" applyFill="1" applyBorder="1" applyAlignment="1">
      <alignment wrapText="1"/>
    </xf>
    <xf numFmtId="3" fontId="10" fillId="2" borderId="3" xfId="1" applyNumberFormat="1" applyFont="1" applyFill="1" applyBorder="1"/>
    <xf numFmtId="3" fontId="10" fillId="2" borderId="4" xfId="1" applyNumberFormat="1" applyFont="1" applyFill="1" applyBorder="1" applyAlignment="1">
      <alignment horizontal="right"/>
    </xf>
    <xf numFmtId="3" fontId="10" fillId="2" borderId="4" xfId="1" applyNumberFormat="1" applyFont="1" applyFill="1" applyBorder="1"/>
    <xf numFmtId="0" fontId="17" fillId="0" borderId="0" xfId="0" applyFont="1" applyBorder="1" applyAlignment="1" applyProtection="1">
      <protection locked="0"/>
    </xf>
    <xf numFmtId="0" fontId="23" fillId="0" borderId="0" xfId="0" applyFont="1" applyAlignment="1" applyProtection="1">
      <alignment wrapText="1"/>
    </xf>
    <xf numFmtId="0" fontId="23" fillId="0" borderId="0" xfId="0" applyFont="1" applyProtection="1"/>
    <xf numFmtId="0" fontId="0" fillId="0" borderId="0" xfId="0" applyProtection="1"/>
    <xf numFmtId="0" fontId="0" fillId="4" borderId="5" xfId="0" applyFill="1" applyBorder="1" applyProtection="1">
      <protection locked="0"/>
    </xf>
    <xf numFmtId="0" fontId="22" fillId="0" borderId="0" xfId="0" applyFont="1" applyAlignment="1" applyProtection="1">
      <alignment wrapText="1"/>
    </xf>
    <xf numFmtId="49" fontId="15" fillId="0" borderId="0" xfId="0" applyNumberFormat="1" applyFont="1" applyAlignment="1" applyProtection="1"/>
    <xf numFmtId="0" fontId="15" fillId="0" borderId="0" xfId="0" applyFont="1" applyAlignment="1" applyProtection="1">
      <alignment wrapText="1"/>
    </xf>
    <xf numFmtId="3" fontId="15" fillId="0" borderId="0" xfId="0" applyNumberFormat="1" applyFont="1" applyAlignment="1" applyProtection="1">
      <alignment horizontal="right" wrapText="1"/>
    </xf>
    <xf numFmtId="0" fontId="15" fillId="0" borderId="0" xfId="0" applyFont="1" applyProtection="1"/>
    <xf numFmtId="0" fontId="9" fillId="0" borderId="6" xfId="1" applyFont="1" applyFill="1" applyBorder="1" applyAlignment="1">
      <alignment wrapText="1"/>
    </xf>
    <xf numFmtId="0" fontId="2" fillId="0" borderId="0" xfId="1" applyFont="1" applyAlignment="1">
      <alignment horizontal="center"/>
    </xf>
    <xf numFmtId="0" fontId="24" fillId="0" borderId="0" xfId="1" applyFont="1" applyAlignment="1">
      <alignment horizontal="left"/>
    </xf>
    <xf numFmtId="3" fontId="19" fillId="0" borderId="2" xfId="1" applyNumberFormat="1" applyFont="1" applyFill="1" applyBorder="1" applyAlignment="1" applyProtection="1">
      <alignment horizontal="right"/>
      <protection locked="0"/>
    </xf>
    <xf numFmtId="3" fontId="7" fillId="0" borderId="2" xfId="1" applyNumberFormat="1" applyFont="1" applyBorder="1" applyAlignment="1" applyProtection="1">
      <alignment horizontal="right"/>
      <protection locked="0"/>
    </xf>
    <xf numFmtId="3" fontId="19" fillId="0" borderId="2" xfId="1" applyNumberFormat="1" applyFont="1" applyFill="1" applyBorder="1" applyProtection="1">
      <protection locked="0"/>
    </xf>
    <xf numFmtId="3" fontId="7" fillId="0" borderId="2" xfId="1" applyNumberFormat="1" applyFont="1" applyBorder="1" applyProtection="1">
      <protection locked="0"/>
    </xf>
    <xf numFmtId="0" fontId="22" fillId="0" borderId="0" xfId="0" applyFont="1" applyAlignment="1" applyProtection="1">
      <alignment horizontal="center" wrapText="1"/>
    </xf>
    <xf numFmtId="0" fontId="0" fillId="0" borderId="0" xfId="0" applyBorder="1" applyProtection="1"/>
    <xf numFmtId="49" fontId="23" fillId="0" borderId="0" xfId="0" applyNumberFormat="1" applyFont="1" applyAlignment="1" applyProtection="1">
      <alignment horizontal="center" vertical="center"/>
    </xf>
    <xf numFmtId="3" fontId="23" fillId="0" borderId="0" xfId="0" applyNumberFormat="1" applyFont="1" applyAlignment="1" applyProtection="1">
      <alignment wrapText="1"/>
    </xf>
    <xf numFmtId="49" fontId="23" fillId="0" borderId="0" xfId="0" applyNumberFormat="1" applyFont="1" applyAlignment="1" applyProtection="1">
      <alignment wrapText="1"/>
    </xf>
    <xf numFmtId="49" fontId="23" fillId="0" borderId="0" xfId="0" applyNumberFormat="1" applyFont="1" applyBorder="1" applyAlignment="1" applyProtection="1"/>
    <xf numFmtId="3" fontId="23" fillId="0" borderId="0" xfId="0" applyNumberFormat="1" applyFont="1" applyProtection="1"/>
    <xf numFmtId="0" fontId="26" fillId="0" borderId="0" xfId="2" applyFont="1" applyFill="1"/>
    <xf numFmtId="0" fontId="27" fillId="0" borderId="0" xfId="0" applyFont="1"/>
    <xf numFmtId="0" fontId="12" fillId="0" borderId="0" xfId="2" applyFont="1" applyFill="1"/>
    <xf numFmtId="0" fontId="12" fillId="0" borderId="0" xfId="2" applyFont="1" applyFill="1" applyProtection="1">
      <protection hidden="1"/>
    </xf>
    <xf numFmtId="0" fontId="28" fillId="0" borderId="0" xfId="0" applyFont="1"/>
    <xf numFmtId="0" fontId="3" fillId="0" borderId="0" xfId="2" applyFont="1" applyFill="1"/>
    <xf numFmtId="0" fontId="10" fillId="0" borderId="0" xfId="2" applyFont="1" applyFill="1"/>
    <xf numFmtId="0" fontId="12" fillId="0" borderId="0" xfId="3" applyFont="1" applyFill="1"/>
    <xf numFmtId="3" fontId="19" fillId="0" borderId="2" xfId="1" applyNumberFormat="1" applyFont="1" applyFill="1" applyBorder="1" applyAlignment="1" applyProtection="1">
      <alignment horizontal="right"/>
    </xf>
    <xf numFmtId="3" fontId="7" fillId="0" borderId="1" xfId="1" applyNumberFormat="1" applyFont="1" applyFill="1" applyBorder="1"/>
    <xf numFmtId="3" fontId="7" fillId="0" borderId="1" xfId="1" applyNumberFormat="1" applyFont="1" applyFill="1" applyBorder="1" applyProtection="1">
      <protection locked="0"/>
    </xf>
    <xf numFmtId="3" fontId="22" fillId="0" borderId="1" xfId="1" applyNumberFormat="1" applyFont="1" applyFill="1" applyBorder="1"/>
    <xf numFmtId="0" fontId="30" fillId="0" borderId="0" xfId="1" applyFont="1" applyFill="1"/>
    <xf numFmtId="0" fontId="22" fillId="0" borderId="0" xfId="1" applyFont="1" applyFill="1"/>
    <xf numFmtId="0" fontId="14" fillId="0" borderId="0" xfId="1" applyFont="1" applyProtection="1"/>
    <xf numFmtId="0" fontId="2" fillId="0" borderId="0" xfId="1" applyProtection="1"/>
    <xf numFmtId="0" fontId="12" fillId="0" borderId="0" xfId="1" applyFont="1" applyAlignment="1" applyProtection="1">
      <alignment vertical="center" wrapText="1"/>
    </xf>
    <xf numFmtId="1" fontId="4" fillId="0" borderId="0" xfId="1" applyNumberFormat="1" applyFont="1" applyAlignment="1" applyProtection="1">
      <alignment horizontal="center"/>
    </xf>
    <xf numFmtId="3" fontId="10" fillId="3" borderId="2" xfId="1" applyNumberFormat="1" applyFont="1" applyFill="1" applyBorder="1" applyAlignment="1" applyProtection="1">
      <alignment horizontal="right"/>
    </xf>
    <xf numFmtId="3" fontId="22" fillId="0" borderId="2" xfId="1" applyNumberFormat="1" applyFont="1" applyFill="1" applyBorder="1" applyAlignment="1" applyProtection="1">
      <alignment horizontal="right"/>
    </xf>
    <xf numFmtId="3" fontId="22" fillId="0" borderId="2" xfId="1" applyNumberFormat="1" applyFont="1" applyFill="1" applyBorder="1" applyProtection="1"/>
    <xf numFmtId="3" fontId="19" fillId="0" borderId="2" xfId="1" applyNumberFormat="1" applyFont="1" applyFill="1" applyBorder="1" applyProtection="1"/>
    <xf numFmtId="0" fontId="26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  <xf numFmtId="3" fontId="31" fillId="0" borderId="2" xfId="1" applyNumberFormat="1" applyFont="1" applyFill="1" applyBorder="1" applyAlignment="1" applyProtection="1">
      <alignment horizontal="right"/>
      <protection locked="0"/>
    </xf>
    <xf numFmtId="3" fontId="31" fillId="0" borderId="2" xfId="1" applyNumberFormat="1" applyFont="1" applyFill="1" applyBorder="1" applyProtection="1">
      <protection locked="0"/>
    </xf>
    <xf numFmtId="3" fontId="10" fillId="2" borderId="2" xfId="1" applyNumberFormat="1" applyFont="1" applyFill="1" applyBorder="1" applyAlignment="1" applyProtection="1">
      <alignment horizontal="right"/>
    </xf>
    <xf numFmtId="3" fontId="7" fillId="0" borderId="7" xfId="1" applyNumberFormat="1" applyFont="1" applyBorder="1" applyAlignment="1" applyProtection="1">
      <alignment horizontal="right"/>
    </xf>
    <xf numFmtId="3" fontId="7" fillId="0" borderId="8" xfId="1" applyNumberFormat="1" applyFont="1" applyFill="1" applyBorder="1" applyAlignment="1" applyProtection="1">
      <alignment horizontal="center"/>
      <protection locked="0"/>
    </xf>
    <xf numFmtId="3" fontId="10" fillId="2" borderId="9" xfId="1" applyNumberFormat="1" applyFont="1" applyFill="1" applyBorder="1" applyProtection="1"/>
    <xf numFmtId="3" fontId="10" fillId="3" borderId="10" xfId="1" applyNumberFormat="1" applyFont="1" applyFill="1" applyBorder="1" applyAlignment="1" applyProtection="1">
      <alignment horizontal="right"/>
    </xf>
    <xf numFmtId="3" fontId="10" fillId="3" borderId="11" xfId="1" applyNumberFormat="1" applyFont="1" applyFill="1" applyBorder="1"/>
    <xf numFmtId="3" fontId="10" fillId="3" borderId="12" xfId="1" applyNumberFormat="1" applyFont="1" applyFill="1" applyBorder="1"/>
    <xf numFmtId="3" fontId="22" fillId="0" borderId="10" xfId="1" applyNumberFormat="1" applyFont="1" applyFill="1" applyBorder="1" applyAlignment="1" applyProtection="1">
      <alignment horizontal="right"/>
    </xf>
    <xf numFmtId="3" fontId="10" fillId="3" borderId="2" xfId="1" applyNumberFormat="1" applyFont="1" applyFill="1" applyBorder="1" applyAlignment="1" applyProtection="1">
      <alignment horizontal="right"/>
      <protection locked="0"/>
    </xf>
    <xf numFmtId="3" fontId="32" fillId="2" borderId="13" xfId="1" applyNumberFormat="1" applyFont="1" applyFill="1" applyBorder="1"/>
    <xf numFmtId="3" fontId="32" fillId="3" borderId="14" xfId="1" applyNumberFormat="1" applyFont="1" applyFill="1" applyBorder="1"/>
    <xf numFmtId="3" fontId="10" fillId="2" borderId="10" xfId="1" applyNumberFormat="1" applyFont="1" applyFill="1" applyBorder="1" applyProtection="1"/>
    <xf numFmtId="3" fontId="10" fillId="2" borderId="15" xfId="1" applyNumberFormat="1" applyFont="1" applyFill="1" applyBorder="1" applyProtection="1"/>
    <xf numFmtId="0" fontId="33" fillId="0" borderId="0" xfId="1" applyFont="1"/>
    <xf numFmtId="0" fontId="32" fillId="0" borderId="0" xfId="1" applyFont="1"/>
    <xf numFmtId="3" fontId="19" fillId="0" borderId="12" xfId="1" applyNumberFormat="1" applyFont="1" applyFill="1" applyBorder="1"/>
    <xf numFmtId="3" fontId="19" fillId="0" borderId="10" xfId="1" applyNumberFormat="1" applyFont="1" applyFill="1" applyBorder="1" applyAlignment="1" applyProtection="1">
      <alignment horizontal="right"/>
      <protection locked="0"/>
    </xf>
    <xf numFmtId="3" fontId="19" fillId="0" borderId="10" xfId="1" applyNumberFormat="1" applyFont="1" applyFill="1" applyBorder="1" applyProtection="1">
      <protection locked="0"/>
    </xf>
    <xf numFmtId="3" fontId="32" fillId="3" borderId="13" xfId="1" applyNumberFormat="1" applyFont="1" applyFill="1" applyBorder="1"/>
    <xf numFmtId="3" fontId="10" fillId="3" borderId="10" xfId="1" applyNumberFormat="1" applyFont="1" applyFill="1" applyBorder="1" applyAlignment="1">
      <alignment horizontal="right"/>
    </xf>
    <xf numFmtId="3" fontId="10" fillId="3" borderId="10" xfId="1" applyNumberFormat="1" applyFont="1" applyFill="1" applyBorder="1" applyAlignment="1" applyProtection="1">
      <alignment horizontal="right"/>
      <protection locked="0"/>
    </xf>
    <xf numFmtId="3" fontId="10" fillId="3" borderId="10" xfId="1" applyNumberFormat="1" applyFont="1" applyFill="1" applyBorder="1" applyProtection="1">
      <protection locked="0"/>
    </xf>
    <xf numFmtId="3" fontId="7" fillId="0" borderId="13" xfId="1" applyNumberFormat="1" applyFont="1" applyFill="1" applyBorder="1" applyProtection="1">
      <protection locked="0"/>
    </xf>
    <xf numFmtId="3" fontId="19" fillId="0" borderId="16" xfId="1" applyNumberFormat="1" applyFont="1" applyFill="1" applyBorder="1" applyAlignment="1" applyProtection="1">
      <alignment horizontal="right"/>
      <protection locked="0"/>
    </xf>
    <xf numFmtId="3" fontId="19" fillId="0" borderId="16" xfId="1" applyNumberFormat="1" applyFont="1" applyFill="1" applyBorder="1" applyProtection="1">
      <protection locked="0"/>
    </xf>
    <xf numFmtId="3" fontId="10" fillId="3" borderId="12" xfId="1" applyNumberFormat="1" applyFont="1" applyFill="1" applyBorder="1" applyAlignment="1">
      <alignment wrapText="1"/>
    </xf>
    <xf numFmtId="166" fontId="32" fillId="2" borderId="16" xfId="1" applyNumberFormat="1" applyFont="1" applyFill="1" applyBorder="1" applyAlignment="1" applyProtection="1">
      <alignment horizontal="right"/>
    </xf>
    <xf numFmtId="166" fontId="32" fillId="3" borderId="16" xfId="1" applyNumberFormat="1" applyFont="1" applyFill="1" applyBorder="1" applyAlignment="1" applyProtection="1">
      <alignment horizontal="right"/>
    </xf>
    <xf numFmtId="166" fontId="32" fillId="3" borderId="16" xfId="1" applyNumberFormat="1" applyFont="1" applyFill="1" applyBorder="1" applyAlignment="1">
      <alignment horizontal="right"/>
    </xf>
    <xf numFmtId="166" fontId="32" fillId="3" borderId="16" xfId="1" applyNumberFormat="1" applyFont="1" applyFill="1" applyBorder="1"/>
    <xf numFmtId="3" fontId="10" fillId="3" borderId="10" xfId="1" applyNumberFormat="1" applyFont="1" applyFill="1" applyBorder="1"/>
    <xf numFmtId="166" fontId="32" fillId="2" borderId="16" xfId="1" applyNumberFormat="1" applyFont="1" applyFill="1" applyBorder="1" applyAlignment="1">
      <alignment horizontal="right"/>
    </xf>
    <xf numFmtId="166" fontId="32" fillId="2" borderId="16" xfId="1" applyNumberFormat="1" applyFont="1" applyFill="1" applyBorder="1"/>
    <xf numFmtId="3" fontId="26" fillId="5" borderId="17" xfId="1" applyNumberFormat="1" applyFont="1" applyFill="1" applyBorder="1" applyAlignment="1" applyProtection="1">
      <alignment horizontal="right"/>
    </xf>
    <xf numFmtId="3" fontId="26" fillId="5" borderId="17" xfId="1" applyNumberFormat="1" applyFont="1" applyFill="1" applyBorder="1" applyProtection="1"/>
    <xf numFmtId="0" fontId="34" fillId="0" borderId="0" xfId="1" applyFont="1"/>
    <xf numFmtId="0" fontId="26" fillId="0" borderId="0" xfId="1" applyFont="1"/>
    <xf numFmtId="166" fontId="35" fillId="5" borderId="18" xfId="1" applyNumberFormat="1" applyFont="1" applyFill="1" applyBorder="1"/>
    <xf numFmtId="166" fontId="35" fillId="5" borderId="18" xfId="1" applyNumberFormat="1" applyFont="1" applyFill="1" applyBorder="1" applyAlignment="1">
      <alignment horizontal="right"/>
    </xf>
    <xf numFmtId="3" fontId="24" fillId="5" borderId="9" xfId="1" applyNumberFormat="1" applyFont="1" applyFill="1" applyBorder="1" applyProtection="1"/>
    <xf numFmtId="3" fontId="24" fillId="5" borderId="10" xfId="1" applyNumberFormat="1" applyFont="1" applyFill="1" applyBorder="1" applyProtection="1"/>
    <xf numFmtId="3" fontId="24" fillId="5" borderId="15" xfId="1" applyNumberFormat="1" applyFont="1" applyFill="1" applyBorder="1" applyProtection="1"/>
    <xf numFmtId="3" fontId="24" fillId="5" borderId="11" xfId="1" applyNumberFormat="1" applyFont="1" applyFill="1" applyBorder="1"/>
    <xf numFmtId="3" fontId="7" fillId="0" borderId="12" xfId="1" applyNumberFormat="1" applyFont="1" applyFill="1" applyBorder="1"/>
    <xf numFmtId="0" fontId="36" fillId="0" borderId="0" xfId="2" applyFont="1" applyFill="1" applyAlignment="1"/>
    <xf numFmtId="0" fontId="37" fillId="0" borderId="0" xfId="1" applyFont="1"/>
    <xf numFmtId="0" fontId="38" fillId="0" borderId="0" xfId="1" applyFont="1"/>
    <xf numFmtId="3" fontId="22" fillId="0" borderId="1" xfId="1" applyNumberFormat="1" applyFont="1" applyFill="1" applyBorder="1" applyAlignment="1">
      <alignment vertical="center" wrapText="1"/>
    </xf>
    <xf numFmtId="3" fontId="31" fillId="0" borderId="2" xfId="1" applyNumberFormat="1" applyFont="1" applyFill="1" applyBorder="1" applyAlignment="1" applyProtection="1">
      <alignment horizontal="right"/>
    </xf>
    <xf numFmtId="0" fontId="12" fillId="0" borderId="0" xfId="2" applyFont="1" applyFill="1" applyBorder="1" applyAlignment="1" applyProtection="1">
      <alignment horizontal="center"/>
      <protection hidden="1"/>
    </xf>
    <xf numFmtId="0" fontId="36" fillId="0" borderId="0" xfId="2" applyFont="1" applyFill="1" applyAlignment="1">
      <alignment horizontal="left"/>
    </xf>
    <xf numFmtId="3" fontId="22" fillId="0" borderId="19" xfId="1" applyNumberFormat="1" applyFont="1" applyFill="1" applyBorder="1" applyAlignment="1" applyProtection="1">
      <alignment horizontal="left"/>
    </xf>
    <xf numFmtId="3" fontId="24" fillId="5" borderId="2" xfId="1" applyNumberFormat="1" applyFont="1" applyFill="1" applyBorder="1" applyAlignment="1" applyProtection="1">
      <alignment horizontal="right"/>
    </xf>
    <xf numFmtId="3" fontId="22" fillId="2" borderId="2" xfId="1" applyNumberFormat="1" applyFont="1" applyFill="1" applyBorder="1" applyAlignment="1" applyProtection="1">
      <alignment horizontal="right"/>
    </xf>
    <xf numFmtId="3" fontId="10" fillId="3" borderId="20" xfId="1" applyNumberFormat="1" applyFont="1" applyFill="1" applyBorder="1" applyAlignment="1" applyProtection="1">
      <alignment horizontal="right"/>
    </xf>
    <xf numFmtId="0" fontId="21" fillId="0" borderId="0" xfId="2" applyFont="1" applyFill="1" applyAlignment="1">
      <alignment horizontal="left"/>
    </xf>
    <xf numFmtId="0" fontId="23" fillId="0" borderId="0" xfId="0" applyFont="1"/>
    <xf numFmtId="0" fontId="26" fillId="0" borderId="0" xfId="2" applyFont="1" applyFill="1" applyAlignment="1">
      <alignment vertical="top" wrapText="1"/>
    </xf>
    <xf numFmtId="0" fontId="2" fillId="0" borderId="0" xfId="1" applyFill="1"/>
    <xf numFmtId="0" fontId="14" fillId="0" borderId="21" xfId="1" applyFont="1" applyBorder="1" applyProtection="1"/>
    <xf numFmtId="0" fontId="36" fillId="0" borderId="0" xfId="2" applyFont="1" applyFill="1" applyAlignment="1">
      <alignment wrapText="1"/>
    </xf>
    <xf numFmtId="3" fontId="19" fillId="0" borderId="22" xfId="1" applyNumberFormat="1" applyFont="1" applyFill="1" applyBorder="1"/>
    <xf numFmtId="3" fontId="10" fillId="2" borderId="23" xfId="1" applyNumberFormat="1" applyFont="1" applyFill="1" applyBorder="1"/>
    <xf numFmtId="3" fontId="10" fillId="2" borderId="4" xfId="1" applyNumberFormat="1" applyFont="1" applyFill="1" applyBorder="1" applyAlignment="1" applyProtection="1">
      <alignment horizontal="right"/>
    </xf>
    <xf numFmtId="3" fontId="10" fillId="3" borderId="13" xfId="1" applyNumberFormat="1" applyFont="1" applyFill="1" applyBorder="1" applyAlignment="1">
      <alignment wrapText="1"/>
    </xf>
    <xf numFmtId="3" fontId="32" fillId="3" borderId="16" xfId="1" applyNumberFormat="1" applyFont="1" applyFill="1" applyBorder="1" applyAlignment="1">
      <alignment horizontal="right"/>
    </xf>
    <xf numFmtId="3" fontId="32" fillId="3" borderId="16" xfId="1" applyNumberFormat="1" applyFont="1" applyFill="1" applyBorder="1"/>
    <xf numFmtId="3" fontId="19" fillId="6" borderId="10" xfId="1" applyNumberFormat="1" applyFont="1" applyFill="1" applyBorder="1" applyAlignment="1" applyProtection="1">
      <alignment horizontal="right"/>
    </xf>
    <xf numFmtId="3" fontId="10" fillId="3" borderId="24" xfId="1" applyNumberFormat="1" applyFont="1" applyFill="1" applyBorder="1" applyAlignment="1">
      <alignment wrapText="1"/>
    </xf>
    <xf numFmtId="49" fontId="23" fillId="0" borderId="0" xfId="0" applyNumberFormat="1" applyFont="1" applyAlignment="1" applyProtection="1"/>
    <xf numFmtId="3" fontId="19" fillId="8" borderId="2" xfId="1" applyNumberFormat="1" applyFont="1" applyFill="1" applyBorder="1" applyAlignment="1" applyProtection="1">
      <alignment horizontal="right"/>
    </xf>
    <xf numFmtId="3" fontId="19" fillId="8" borderId="2" xfId="1" applyNumberFormat="1" applyFont="1" applyFill="1" applyBorder="1" applyProtection="1"/>
    <xf numFmtId="3" fontId="7" fillId="0" borderId="1" xfId="1" applyNumberFormat="1" applyFont="1" applyBorder="1" applyAlignment="1">
      <alignment vertical="center" wrapText="1"/>
    </xf>
    <xf numFmtId="3" fontId="11" fillId="0" borderId="1" xfId="1" applyNumberFormat="1" applyFont="1" applyBorder="1"/>
    <xf numFmtId="3" fontId="19" fillId="8" borderId="10" xfId="1" applyNumberFormat="1" applyFont="1" applyFill="1" applyBorder="1" applyAlignment="1" applyProtection="1">
      <alignment horizontal="right"/>
    </xf>
    <xf numFmtId="3" fontId="19" fillId="8" borderId="10" xfId="1" applyNumberFormat="1" applyFont="1" applyFill="1" applyBorder="1" applyProtection="1"/>
    <xf numFmtId="0" fontId="2" fillId="0" borderId="0" xfId="1" applyNumberFormat="1"/>
    <xf numFmtId="0" fontId="12" fillId="7" borderId="25" xfId="2" quotePrefix="1" applyFont="1" applyFill="1" applyBorder="1" applyAlignment="1" applyProtection="1">
      <alignment horizontal="center" vertical="center"/>
    </xf>
    <xf numFmtId="0" fontId="12" fillId="0" borderId="25" xfId="2" applyFont="1" applyFill="1" applyBorder="1" applyAlignment="1" applyProtection="1">
      <alignment horizontal="center"/>
      <protection hidden="1"/>
    </xf>
    <xf numFmtId="0" fontId="29" fillId="7" borderId="25" xfId="2" applyFont="1" applyFill="1" applyBorder="1" applyAlignment="1" applyProtection="1">
      <alignment vertical="center" wrapText="1"/>
    </xf>
    <xf numFmtId="165" fontId="4" fillId="7" borderId="25" xfId="2" quotePrefix="1" applyNumberFormat="1" applyFont="1" applyFill="1" applyBorder="1" applyAlignment="1" applyProtection="1">
      <alignment horizontal="center" vertical="center" wrapText="1"/>
    </xf>
    <xf numFmtId="3" fontId="12" fillId="0" borderId="25" xfId="2" applyNumberFormat="1" applyFont="1" applyFill="1" applyBorder="1" applyAlignment="1" applyProtection="1">
      <alignment horizontal="right" vertical="center"/>
      <protection hidden="1"/>
    </xf>
    <xf numFmtId="3" fontId="12" fillId="0" borderId="25" xfId="2" applyNumberFormat="1" applyFont="1" applyBorder="1" applyAlignment="1" applyProtection="1">
      <alignment horizontal="right" vertical="center"/>
      <protection hidden="1"/>
    </xf>
    <xf numFmtId="0" fontId="4" fillId="7" borderId="25" xfId="2" applyFont="1" applyFill="1" applyBorder="1" applyAlignment="1" applyProtection="1">
      <alignment vertical="center" wrapText="1"/>
    </xf>
    <xf numFmtId="165" fontId="4" fillId="7" borderId="25" xfId="2" quotePrefix="1" applyNumberFormat="1" applyFont="1" applyFill="1" applyBorder="1" applyAlignment="1" applyProtection="1">
      <alignment horizontal="center" vertical="center"/>
    </xf>
    <xf numFmtId="3" fontId="12" fillId="0" borderId="25" xfId="2" applyNumberFormat="1" applyFont="1" applyFill="1" applyBorder="1" applyAlignment="1" applyProtection="1">
      <alignment vertical="center" wrapText="1"/>
      <protection locked="0"/>
    </xf>
    <xf numFmtId="3" fontId="57" fillId="0" borderId="25" xfId="2" applyNumberFormat="1" applyFont="1" applyFill="1" applyBorder="1" applyAlignment="1" applyProtection="1">
      <alignment vertical="center" wrapText="1"/>
      <protection locked="0"/>
    </xf>
    <xf numFmtId="0" fontId="21" fillId="7" borderId="26" xfId="2" applyFont="1" applyFill="1" applyBorder="1" applyAlignment="1" applyProtection="1">
      <alignment horizontal="center" vertical="center" wrapText="1"/>
    </xf>
    <xf numFmtId="0" fontId="12" fillId="7" borderId="27" xfId="2" quotePrefix="1" applyFont="1" applyFill="1" applyBorder="1" applyAlignment="1" applyProtection="1">
      <alignment horizontal="center" vertical="center"/>
    </xf>
    <xf numFmtId="0" fontId="12" fillId="0" borderId="28" xfId="2" applyFont="1" applyFill="1" applyBorder="1" applyAlignment="1" applyProtection="1">
      <alignment horizontal="center"/>
      <protection hidden="1"/>
    </xf>
    <xf numFmtId="164" fontId="4" fillId="7" borderId="27" xfId="2" quotePrefix="1" applyNumberFormat="1" applyFont="1" applyFill="1" applyBorder="1" applyAlignment="1" applyProtection="1">
      <alignment horizontal="center" vertical="center"/>
    </xf>
    <xf numFmtId="0" fontId="4" fillId="7" borderId="27" xfId="2" quotePrefix="1" applyFont="1" applyFill="1" applyBorder="1" applyAlignment="1" applyProtection="1">
      <alignment horizontal="center" vertical="center" wrapText="1"/>
    </xf>
    <xf numFmtId="166" fontId="4" fillId="7" borderId="27" xfId="2" quotePrefix="1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44" fillId="7" borderId="25" xfId="2" applyFont="1" applyFill="1" applyBorder="1" applyAlignment="1" applyProtection="1">
      <alignment vertical="center" wrapText="1"/>
    </xf>
    <xf numFmtId="0" fontId="45" fillId="7" borderId="29" xfId="2" applyFont="1" applyFill="1" applyBorder="1" applyAlignment="1" applyProtection="1">
      <alignment horizontal="center" vertical="center" wrapText="1"/>
    </xf>
    <xf numFmtId="0" fontId="21" fillId="7" borderId="26" xfId="2" applyFont="1" applyFill="1" applyBorder="1" applyAlignment="1" applyProtection="1">
      <alignment horizontal="center" vertical="center"/>
    </xf>
    <xf numFmtId="0" fontId="36" fillId="0" borderId="0" xfId="2" applyFont="1" applyFill="1" applyAlignment="1">
      <alignment vertical="top"/>
    </xf>
    <xf numFmtId="0" fontId="10" fillId="9" borderId="30" xfId="1" applyFont="1" applyFill="1" applyBorder="1" applyAlignment="1" applyProtection="1">
      <alignment horizontal="center"/>
    </xf>
    <xf numFmtId="0" fontId="24" fillId="9" borderId="31" xfId="1" applyFont="1" applyFill="1" applyBorder="1" applyAlignment="1">
      <alignment horizontal="center"/>
    </xf>
    <xf numFmtId="0" fontId="2" fillId="9" borderId="31" xfId="1" applyFont="1" applyFill="1" applyBorder="1" applyAlignment="1" applyProtection="1">
      <alignment horizontal="center" vertical="center" wrapText="1"/>
    </xf>
    <xf numFmtId="0" fontId="2" fillId="9" borderId="31" xfId="1" applyFont="1" applyFill="1" applyBorder="1" applyAlignment="1" applyProtection="1">
      <alignment horizontal="center" vertical="center"/>
    </xf>
    <xf numFmtId="0" fontId="45" fillId="0" borderId="25" xfId="1" applyFont="1" applyBorder="1" applyAlignment="1">
      <alignment horizontal="center" vertical="center"/>
    </xf>
    <xf numFmtId="0" fontId="44" fillId="0" borderId="25" xfId="1" applyFont="1" applyBorder="1" applyAlignment="1">
      <alignment horizontal="center" vertical="center"/>
    </xf>
    <xf numFmtId="0" fontId="17" fillId="0" borderId="32" xfId="0" applyFont="1" applyFill="1" applyBorder="1" applyAlignment="1" applyProtection="1">
      <alignment horizontal="left" wrapText="1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3" fontId="18" fillId="0" borderId="10" xfId="0" applyNumberFormat="1" applyFont="1" applyFill="1" applyBorder="1"/>
    <xf numFmtId="3" fontId="17" fillId="0" borderId="10" xfId="0" applyNumberFormat="1" applyFont="1" applyFill="1" applyBorder="1" applyProtection="1">
      <protection locked="0"/>
    </xf>
    <xf numFmtId="3" fontId="17" fillId="0" borderId="17" xfId="0" applyNumberFormat="1" applyFont="1" applyFill="1" applyBorder="1" applyProtection="1">
      <protection locked="0"/>
    </xf>
    <xf numFmtId="0" fontId="18" fillId="0" borderId="0" xfId="0" applyFont="1" applyFill="1" applyBorder="1"/>
    <xf numFmtId="3" fontId="39" fillId="0" borderId="0" xfId="0" applyNumberFormat="1" applyFont="1" applyFill="1" applyBorder="1"/>
    <xf numFmtId="0" fontId="17" fillId="0" borderId="0" xfId="0" applyNumberFormat="1" applyFont="1"/>
    <xf numFmtId="3" fontId="2" fillId="0" borderId="6" xfId="1" applyNumberFormat="1" applyFont="1" applyBorder="1" applyAlignment="1">
      <alignment horizontal="center"/>
    </xf>
    <xf numFmtId="3" fontId="24" fillId="5" borderId="9" xfId="1" applyNumberFormat="1" applyFont="1" applyFill="1" applyBorder="1" applyProtection="1">
      <protection locked="0"/>
    </xf>
    <xf numFmtId="3" fontId="24" fillId="5" borderId="10" xfId="1" applyNumberFormat="1" applyFont="1" applyFill="1" applyBorder="1" applyProtection="1">
      <protection locked="0"/>
    </xf>
    <xf numFmtId="3" fontId="24" fillId="5" borderId="15" xfId="1" applyNumberFormat="1" applyFont="1" applyFill="1" applyBorder="1" applyProtection="1">
      <protection locked="0"/>
    </xf>
    <xf numFmtId="0" fontId="2" fillId="0" borderId="0" xfId="1" applyBorder="1"/>
    <xf numFmtId="3" fontId="19" fillId="0" borderId="6" xfId="1" applyNumberFormat="1" applyFont="1" applyBorder="1"/>
    <xf numFmtId="3" fontId="19" fillId="0" borderId="6" xfId="1" applyNumberFormat="1" applyFont="1" applyBorder="1" applyAlignment="1">
      <alignment horizontal="center"/>
    </xf>
    <xf numFmtId="3" fontId="12" fillId="10" borderId="25" xfId="2" applyNumberFormat="1" applyFont="1" applyFill="1" applyBorder="1" applyAlignment="1" applyProtection="1">
      <alignment vertical="center" wrapText="1"/>
    </xf>
    <xf numFmtId="3" fontId="22" fillId="2" borderId="10" xfId="1" applyNumberFormat="1" applyFont="1" applyFill="1" applyBorder="1" applyAlignment="1" applyProtection="1">
      <alignment horizontal="right"/>
    </xf>
    <xf numFmtId="165" fontId="4" fillId="8" borderId="25" xfId="2" quotePrefix="1" applyNumberFormat="1" applyFont="1" applyFill="1" applyBorder="1" applyAlignment="1" applyProtection="1">
      <alignment horizontal="center" vertical="center" wrapText="1"/>
    </xf>
    <xf numFmtId="165" fontId="4" fillId="8" borderId="25" xfId="2" quotePrefix="1" applyNumberFormat="1" applyFont="1" applyFill="1" applyBorder="1" applyAlignment="1" applyProtection="1">
      <alignment horizontal="center" vertical="center"/>
    </xf>
    <xf numFmtId="0" fontId="3" fillId="11" borderId="33" xfId="1" applyFont="1" applyFill="1" applyBorder="1" applyProtection="1"/>
    <xf numFmtId="0" fontId="22" fillId="11" borderId="34" xfId="1" applyFont="1" applyFill="1" applyBorder="1" applyAlignment="1" applyProtection="1">
      <alignment horizontal="center" vertical="center" wrapText="1"/>
    </xf>
    <xf numFmtId="0" fontId="3" fillId="11" borderId="35" xfId="1" applyFont="1" applyFill="1" applyBorder="1" applyAlignment="1" applyProtection="1">
      <alignment horizontal="center" vertical="center" wrapText="1"/>
    </xf>
    <xf numFmtId="0" fontId="3" fillId="11" borderId="34" xfId="1" applyFont="1" applyFill="1" applyBorder="1" applyAlignment="1" applyProtection="1">
      <alignment horizontal="center" vertical="center" wrapText="1"/>
    </xf>
    <xf numFmtId="1" fontId="4" fillId="11" borderId="31" xfId="1" applyNumberFormat="1" applyFont="1" applyFill="1" applyBorder="1" applyAlignment="1" applyProtection="1">
      <alignment horizontal="center"/>
    </xf>
    <xf numFmtId="1" fontId="4" fillId="11" borderId="36" xfId="1" applyNumberFormat="1" applyFont="1" applyFill="1" applyBorder="1" applyAlignment="1" applyProtection="1">
      <alignment horizontal="center"/>
    </xf>
    <xf numFmtId="0" fontId="25" fillId="11" borderId="30" xfId="1" applyFont="1" applyFill="1" applyBorder="1" applyAlignment="1">
      <alignment horizontal="center" vertical="center" wrapText="1"/>
    </xf>
    <xf numFmtId="0" fontId="25" fillId="11" borderId="37" xfId="1" applyFont="1" applyFill="1" applyBorder="1" applyAlignment="1">
      <alignment horizontal="center" vertical="center" wrapText="1"/>
    </xf>
    <xf numFmtId="0" fontId="10" fillId="11" borderId="37" xfId="1" applyFont="1" applyFill="1" applyBorder="1" applyAlignment="1" applyProtection="1">
      <alignment horizontal="center"/>
    </xf>
    <xf numFmtId="3" fontId="24" fillId="11" borderId="37" xfId="1" applyNumberFormat="1" applyFont="1" applyFill="1" applyBorder="1" applyProtection="1"/>
    <xf numFmtId="3" fontId="19" fillId="11" borderId="37" xfId="1" applyNumberFormat="1" applyFont="1" applyFill="1" applyBorder="1" applyProtection="1">
      <protection locked="0"/>
    </xf>
    <xf numFmtId="3" fontId="26" fillId="12" borderId="38" xfId="1" applyNumberFormat="1" applyFont="1" applyFill="1" applyBorder="1"/>
    <xf numFmtId="3" fontId="24" fillId="12" borderId="9" xfId="1" applyNumberFormat="1" applyFont="1" applyFill="1" applyBorder="1" applyProtection="1"/>
    <xf numFmtId="3" fontId="24" fillId="12" borderId="10" xfId="1" applyNumberFormat="1" applyFont="1" applyFill="1" applyBorder="1" applyProtection="1"/>
    <xf numFmtId="3" fontId="24" fillId="12" borderId="15" xfId="1" applyNumberFormat="1" applyFont="1" applyFill="1" applyBorder="1" applyProtection="1"/>
    <xf numFmtId="3" fontId="26" fillId="12" borderId="17" xfId="1" applyNumberFormat="1" applyFont="1" applyFill="1" applyBorder="1" applyAlignment="1" applyProtection="1">
      <alignment horizontal="right"/>
    </xf>
    <xf numFmtId="3" fontId="26" fillId="12" borderId="17" xfId="1" applyNumberFormat="1" applyFont="1" applyFill="1" applyBorder="1" applyProtection="1"/>
    <xf numFmtId="3" fontId="24" fillId="12" borderId="11" xfId="1" applyNumberFormat="1" applyFont="1" applyFill="1" applyBorder="1"/>
    <xf numFmtId="3" fontId="24" fillId="12" borderId="2" xfId="1" applyNumberFormat="1" applyFont="1" applyFill="1" applyBorder="1" applyAlignment="1" applyProtection="1">
      <alignment horizontal="right"/>
    </xf>
    <xf numFmtId="3" fontId="35" fillId="12" borderId="39" xfId="1" applyNumberFormat="1" applyFont="1" applyFill="1" applyBorder="1"/>
    <xf numFmtId="166" fontId="35" fillId="12" borderId="18" xfId="1" applyNumberFormat="1" applyFont="1" applyFill="1" applyBorder="1"/>
    <xf numFmtId="166" fontId="35" fillId="12" borderId="18" xfId="1" applyNumberFormat="1" applyFont="1" applyFill="1" applyBorder="1" applyAlignment="1">
      <alignment horizontal="right"/>
    </xf>
    <xf numFmtId="3" fontId="2" fillId="0" borderId="0" xfId="1" applyNumberFormat="1" applyFont="1" applyAlignment="1">
      <alignment horizontal="left"/>
    </xf>
    <xf numFmtId="0" fontId="2" fillId="0" borderId="0" xfId="1" applyNumberFormat="1" applyFont="1"/>
    <xf numFmtId="3" fontId="1" fillId="4" borderId="5" xfId="0" applyNumberFormat="1" applyFont="1" applyFill="1" applyBorder="1" applyProtection="1">
      <protection locked="0"/>
    </xf>
    <xf numFmtId="3" fontId="31" fillId="8" borderId="2" xfId="1" applyNumberFormat="1" applyFont="1" applyFill="1" applyBorder="1" applyAlignment="1" applyProtection="1">
      <alignment horizontal="right"/>
    </xf>
    <xf numFmtId="3" fontId="10" fillId="2" borderId="12" xfId="1" applyNumberFormat="1" applyFont="1" applyFill="1" applyBorder="1"/>
    <xf numFmtId="3" fontId="10" fillId="2" borderId="10" xfId="1" applyNumberFormat="1" applyFont="1" applyFill="1" applyBorder="1" applyAlignment="1" applyProtection="1">
      <alignment horizontal="right"/>
      <protection locked="0"/>
    </xf>
    <xf numFmtId="3" fontId="10" fillId="2" borderId="10" xfId="1" applyNumberFormat="1" applyFont="1" applyFill="1" applyBorder="1" applyProtection="1">
      <protection locked="0"/>
    </xf>
    <xf numFmtId="3" fontId="19" fillId="0" borderId="40" xfId="1" applyNumberFormat="1" applyFont="1" applyFill="1" applyBorder="1"/>
    <xf numFmtId="3" fontId="19" fillId="0" borderId="41" xfId="1" applyNumberFormat="1" applyFont="1" applyBorder="1" applyAlignment="1">
      <alignment horizontal="center"/>
    </xf>
    <xf numFmtId="3" fontId="19" fillId="0" borderId="42" xfId="1" applyNumberFormat="1" applyFont="1" applyBorder="1" applyAlignment="1">
      <alignment horizontal="center"/>
    </xf>
    <xf numFmtId="3" fontId="2" fillId="0" borderId="42" xfId="1" applyNumberFormat="1" applyFont="1" applyBorder="1" applyAlignment="1">
      <alignment horizontal="center"/>
    </xf>
    <xf numFmtId="3" fontId="26" fillId="5" borderId="12" xfId="1" applyNumberFormat="1" applyFont="1" applyFill="1" applyBorder="1"/>
    <xf numFmtId="3" fontId="26" fillId="5" borderId="10" xfId="1" applyNumberFormat="1" applyFont="1" applyFill="1" applyBorder="1" applyAlignment="1" applyProtection="1">
      <alignment horizontal="right"/>
      <protection locked="0"/>
    </xf>
    <xf numFmtId="3" fontId="26" fillId="5" borderId="10" xfId="1" applyNumberFormat="1" applyFont="1" applyFill="1" applyBorder="1" applyProtection="1">
      <protection locked="0"/>
    </xf>
    <xf numFmtId="0" fontId="2" fillId="0" borderId="42" xfId="1" applyFont="1" applyBorder="1"/>
    <xf numFmtId="0" fontId="2" fillId="0" borderId="42" xfId="1" applyBorder="1"/>
    <xf numFmtId="3" fontId="7" fillId="0" borderId="10" xfId="1" applyNumberFormat="1" applyFont="1" applyFill="1" applyBorder="1" applyAlignment="1" applyProtection="1">
      <alignment horizontal="right"/>
      <protection locked="0"/>
    </xf>
    <xf numFmtId="3" fontId="7" fillId="8" borderId="10" xfId="1" applyNumberFormat="1" applyFont="1" applyFill="1" applyBorder="1" applyAlignment="1" applyProtection="1">
      <alignment horizontal="right"/>
    </xf>
    <xf numFmtId="3" fontId="7" fillId="0" borderId="10" xfId="1" applyNumberFormat="1" applyFont="1" applyBorder="1" applyAlignment="1" applyProtection="1">
      <alignment horizontal="right"/>
      <protection locked="0"/>
    </xf>
    <xf numFmtId="3" fontId="7" fillId="0" borderId="10" xfId="1" applyNumberFormat="1" applyFont="1" applyBorder="1" applyProtection="1">
      <protection locked="0"/>
    </xf>
    <xf numFmtId="3" fontId="35" fillId="5" borderId="13" xfId="1" applyNumberFormat="1" applyFont="1" applyFill="1" applyBorder="1"/>
    <xf numFmtId="166" fontId="35" fillId="5" borderId="16" xfId="1" applyNumberFormat="1" applyFont="1" applyFill="1" applyBorder="1"/>
    <xf numFmtId="166" fontId="35" fillId="5" borderId="16" xfId="1" applyNumberFormat="1" applyFont="1" applyFill="1" applyBorder="1" applyAlignment="1">
      <alignment horizontal="right"/>
    </xf>
    <xf numFmtId="3" fontId="7" fillId="0" borderId="43" xfId="1" applyNumberFormat="1" applyFont="1" applyBorder="1"/>
    <xf numFmtId="3" fontId="7" fillId="0" borderId="7" xfId="1" applyNumberFormat="1" applyFont="1" applyBorder="1" applyAlignment="1" applyProtection="1">
      <alignment horizontal="right"/>
      <protection locked="0"/>
    </xf>
    <xf numFmtId="3" fontId="7" fillId="0" borderId="7" xfId="1" applyNumberFormat="1" applyFont="1" applyBorder="1" applyProtection="1">
      <protection locked="0"/>
    </xf>
    <xf numFmtId="3" fontId="7" fillId="11" borderId="31" xfId="1" applyNumberFormat="1" applyFont="1" applyFill="1" applyBorder="1" applyProtection="1">
      <protection locked="0"/>
    </xf>
    <xf numFmtId="3" fontId="19" fillId="0" borderId="6" xfId="1" applyNumberFormat="1" applyFont="1" applyBorder="1" applyProtection="1"/>
    <xf numFmtId="3" fontId="19" fillId="0" borderId="41" xfId="1" applyNumberFormat="1" applyFont="1" applyBorder="1" applyProtection="1"/>
    <xf numFmtId="3" fontId="19" fillId="0" borderId="16" xfId="1" applyNumberFormat="1" applyFont="1" applyFill="1" applyBorder="1" applyAlignment="1" applyProtection="1">
      <alignment horizontal="right"/>
    </xf>
    <xf numFmtId="3" fontId="19" fillId="0" borderId="10" xfId="1" applyNumberFormat="1" applyFont="1" applyFill="1" applyBorder="1" applyAlignment="1" applyProtection="1">
      <alignment horizontal="right"/>
    </xf>
    <xf numFmtId="3" fontId="32" fillId="3" borderId="16" xfId="1" applyNumberFormat="1" applyFont="1" applyFill="1" applyBorder="1" applyAlignment="1" applyProtection="1">
      <alignment horizontal="right"/>
    </xf>
    <xf numFmtId="3" fontId="19" fillId="0" borderId="44" xfId="1" applyNumberFormat="1" applyFont="1" applyFill="1" applyBorder="1" applyAlignment="1" applyProtection="1">
      <alignment horizontal="right"/>
    </xf>
    <xf numFmtId="3" fontId="10" fillId="2" borderId="10" xfId="1" applyNumberFormat="1" applyFont="1" applyFill="1" applyBorder="1" applyAlignment="1" applyProtection="1">
      <alignment horizontal="right"/>
    </xf>
    <xf numFmtId="3" fontId="19" fillId="8" borderId="16" xfId="1" applyNumberFormat="1" applyFont="1" applyFill="1" applyBorder="1" applyAlignment="1" applyProtection="1">
      <alignment horizontal="right"/>
    </xf>
    <xf numFmtId="0" fontId="2" fillId="0" borderId="42" xfId="1" applyFont="1" applyBorder="1" applyProtection="1"/>
    <xf numFmtId="3" fontId="26" fillId="5" borderId="10" xfId="1" applyNumberFormat="1" applyFont="1" applyFill="1" applyBorder="1" applyProtection="1"/>
    <xf numFmtId="166" fontId="35" fillId="5" borderId="16" xfId="1" applyNumberFormat="1" applyFont="1" applyFill="1" applyBorder="1" applyProtection="1"/>
    <xf numFmtId="3" fontId="31" fillId="0" borderId="10" xfId="1" applyNumberFormat="1" applyFont="1" applyFill="1" applyBorder="1" applyAlignment="1" applyProtection="1">
      <alignment horizontal="right"/>
    </xf>
    <xf numFmtId="3" fontId="46" fillId="0" borderId="6" xfId="1" applyNumberFormat="1" applyFont="1" applyBorder="1" applyAlignment="1">
      <alignment horizontal="center"/>
    </xf>
    <xf numFmtId="3" fontId="19" fillId="0" borderId="42" xfId="1" applyNumberFormat="1" applyFont="1" applyBorder="1" applyProtection="1"/>
    <xf numFmtId="0" fontId="24" fillId="0" borderId="0" xfId="1" applyFont="1" applyBorder="1" applyAlignment="1">
      <alignment horizontal="left"/>
    </xf>
    <xf numFmtId="0" fontId="37" fillId="0" borderId="0" xfId="1" applyFont="1" applyBorder="1" applyAlignment="1">
      <alignment horizontal="left"/>
    </xf>
    <xf numFmtId="0" fontId="2" fillId="0" borderId="0" xfId="1" applyFill="1" applyBorder="1"/>
    <xf numFmtId="0" fontId="14" fillId="0" borderId="0" xfId="1" applyFont="1" applyBorder="1"/>
    <xf numFmtId="3" fontId="10" fillId="2" borderId="37" xfId="1" applyNumberFormat="1" applyFont="1" applyFill="1" applyBorder="1" applyAlignment="1" applyProtection="1">
      <alignment horizontal="right"/>
    </xf>
    <xf numFmtId="3" fontId="10" fillId="2" borderId="37" xfId="1" applyNumberFormat="1" applyFont="1" applyFill="1" applyBorder="1" applyProtection="1"/>
    <xf numFmtId="0" fontId="2" fillId="11" borderId="45" xfId="1" applyFont="1" applyFill="1" applyBorder="1" applyAlignment="1" applyProtection="1">
      <alignment horizontal="center"/>
      <protection locked="0"/>
    </xf>
    <xf numFmtId="0" fontId="21" fillId="11" borderId="35" xfId="1" applyFont="1" applyFill="1" applyBorder="1" applyAlignment="1" applyProtection="1">
      <alignment horizontal="center" vertical="center" wrapText="1"/>
      <protection locked="0"/>
    </xf>
    <xf numFmtId="1" fontId="4" fillId="11" borderId="31" xfId="1" applyNumberFormat="1" applyFont="1" applyFill="1" applyBorder="1" applyAlignment="1" applyProtection="1">
      <alignment horizontal="center"/>
      <protection locked="0"/>
    </xf>
    <xf numFmtId="1" fontId="2" fillId="0" borderId="36" xfId="1" applyNumberFormat="1" applyFont="1" applyBorder="1" applyAlignment="1" applyProtection="1">
      <alignment horizontal="center"/>
      <protection locked="0"/>
    </xf>
    <xf numFmtId="1" fontId="19" fillId="0" borderId="46" xfId="1" applyNumberFormat="1" applyFont="1" applyFill="1" applyBorder="1" applyAlignment="1" applyProtection="1">
      <alignment horizontal="center"/>
      <protection locked="0"/>
    </xf>
    <xf numFmtId="1" fontId="26" fillId="12" borderId="47" xfId="1" applyNumberFormat="1" applyFont="1" applyFill="1" applyBorder="1" applyAlignment="1" applyProtection="1">
      <alignment horizontal="center"/>
      <protection locked="0"/>
    </xf>
    <xf numFmtId="1" fontId="10" fillId="12" borderId="48" xfId="1" applyNumberFormat="1" applyFont="1" applyFill="1" applyBorder="1" applyAlignment="1" applyProtection="1">
      <alignment horizontal="center"/>
      <protection locked="0"/>
    </xf>
    <xf numFmtId="1" fontId="26" fillId="12" borderId="49" xfId="1" applyNumberFormat="1" applyFont="1" applyFill="1" applyBorder="1" applyAlignment="1" applyProtection="1">
      <alignment horizontal="center"/>
      <protection locked="0"/>
    </xf>
    <xf numFmtId="1" fontId="19" fillId="0" borderId="50" xfId="1" applyNumberFormat="1" applyFont="1" applyFill="1" applyBorder="1" applyAlignment="1" applyProtection="1">
      <alignment horizontal="center"/>
      <protection locked="0"/>
    </xf>
    <xf numFmtId="3" fontId="22" fillId="2" borderId="51" xfId="1" applyNumberFormat="1" applyFont="1" applyFill="1" applyBorder="1" applyAlignment="1" applyProtection="1">
      <alignment horizontal="center"/>
      <protection locked="0"/>
    </xf>
    <xf numFmtId="3" fontId="22" fillId="2" borderId="8" xfId="1" applyNumberFormat="1" applyFont="1" applyFill="1" applyBorder="1" applyAlignment="1" applyProtection="1">
      <alignment horizontal="center"/>
      <protection locked="0"/>
    </xf>
    <xf numFmtId="3" fontId="22" fillId="2" borderId="52" xfId="1" applyNumberFormat="1" applyFont="1" applyFill="1" applyBorder="1" applyAlignment="1" applyProtection="1">
      <alignment horizontal="center"/>
      <protection locked="0"/>
    </xf>
    <xf numFmtId="1" fontId="10" fillId="3" borderId="32" xfId="1" applyNumberFormat="1" applyFont="1" applyFill="1" applyBorder="1" applyAlignment="1" applyProtection="1">
      <alignment horizontal="center"/>
      <protection locked="0"/>
    </xf>
    <xf numFmtId="1" fontId="10" fillId="3" borderId="53" xfId="1" applyNumberFormat="1" applyFont="1" applyFill="1" applyBorder="1" applyAlignment="1" applyProtection="1">
      <alignment horizontal="center"/>
      <protection locked="0"/>
    </xf>
    <xf numFmtId="3" fontId="22" fillId="0" borderId="51" xfId="1" applyNumberFormat="1" applyFont="1" applyFill="1" applyBorder="1" applyAlignment="1" applyProtection="1">
      <alignment horizontal="center"/>
      <protection locked="0"/>
    </xf>
    <xf numFmtId="3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3" fontId="11" fillId="0" borderId="8" xfId="1" applyNumberFormat="1" applyFont="1" applyFill="1" applyBorder="1" applyAlignment="1" applyProtection="1">
      <alignment horizontal="center"/>
      <protection locked="0"/>
    </xf>
    <xf numFmtId="3" fontId="22" fillId="0" borderId="8" xfId="1" applyNumberFormat="1" applyFont="1" applyFill="1" applyBorder="1" applyAlignment="1" applyProtection="1">
      <alignment horizontal="center"/>
      <protection locked="0"/>
    </xf>
    <xf numFmtId="1" fontId="10" fillId="3" borderId="48" xfId="1" applyNumberFormat="1" applyFont="1" applyFill="1" applyBorder="1" applyAlignment="1" applyProtection="1">
      <alignment horizontal="center"/>
      <protection locked="0"/>
    </xf>
    <xf numFmtId="1" fontId="32" fillId="3" borderId="53" xfId="1" applyNumberFormat="1" applyFont="1" applyFill="1" applyBorder="1" applyAlignment="1" applyProtection="1">
      <alignment horizontal="center"/>
      <protection locked="0"/>
    </xf>
    <xf numFmtId="1" fontId="19" fillId="0" borderId="32" xfId="1" applyNumberFormat="1" applyFont="1" applyFill="1" applyBorder="1" applyAlignment="1" applyProtection="1">
      <alignment horizontal="center"/>
      <protection locked="0"/>
    </xf>
    <xf numFmtId="1" fontId="19" fillId="0" borderId="48" xfId="1" applyNumberFormat="1" applyFont="1" applyFill="1" applyBorder="1" applyAlignment="1" applyProtection="1">
      <alignment horizontal="center"/>
      <protection locked="0"/>
    </xf>
    <xf numFmtId="1" fontId="19" fillId="0" borderId="53" xfId="1" applyNumberFormat="1" applyFont="1" applyFill="1" applyBorder="1" applyAlignment="1" applyProtection="1">
      <alignment horizontal="center"/>
      <protection locked="0"/>
    </xf>
    <xf numFmtId="1" fontId="10" fillId="2" borderId="54" xfId="1" applyNumberFormat="1" applyFont="1" applyFill="1" applyBorder="1" applyAlignment="1" applyProtection="1">
      <alignment horizontal="center"/>
      <protection locked="0"/>
    </xf>
    <xf numFmtId="1" fontId="10" fillId="2" borderId="55" xfId="1" applyNumberFormat="1" applyFont="1" applyFill="1" applyBorder="1" applyAlignment="1" applyProtection="1">
      <alignment horizontal="center"/>
      <protection locked="0"/>
    </xf>
    <xf numFmtId="1" fontId="10" fillId="2" borderId="53" xfId="1" applyNumberFormat="1" applyFont="1" applyFill="1" applyBorder="1" applyAlignment="1" applyProtection="1">
      <alignment horizontal="center"/>
      <protection locked="0"/>
    </xf>
    <xf numFmtId="1" fontId="19" fillId="0" borderId="55" xfId="1" applyNumberFormat="1" applyFont="1" applyFill="1" applyBorder="1" applyAlignment="1" applyProtection="1">
      <alignment horizontal="center"/>
      <protection locked="0"/>
    </xf>
    <xf numFmtId="1" fontId="10" fillId="2" borderId="48" xfId="1" applyNumberFormat="1" applyFont="1" applyFill="1" applyBorder="1" applyAlignment="1" applyProtection="1">
      <alignment horizontal="center"/>
      <protection locked="0"/>
    </xf>
    <xf numFmtId="1" fontId="32" fillId="2" borderId="53" xfId="1" applyNumberFormat="1" applyFont="1" applyFill="1" applyBorder="1" applyAlignment="1" applyProtection="1">
      <alignment horizontal="center"/>
      <protection locked="0"/>
    </xf>
    <xf numFmtId="1" fontId="10" fillId="2" borderId="32" xfId="1" applyNumberFormat="1" applyFont="1" applyFill="1" applyBorder="1" applyAlignment="1" applyProtection="1">
      <alignment horizontal="center"/>
      <protection locked="0"/>
    </xf>
    <xf numFmtId="0" fontId="2" fillId="0" borderId="56" xfId="1" applyBorder="1" applyAlignment="1" applyProtection="1">
      <alignment horizontal="center"/>
      <protection locked="0"/>
    </xf>
    <xf numFmtId="1" fontId="26" fillId="5" borderId="57" xfId="1" applyNumberFormat="1" applyFont="1" applyFill="1" applyBorder="1" applyAlignment="1" applyProtection="1">
      <alignment horizontal="center"/>
      <protection locked="0"/>
    </xf>
    <xf numFmtId="1" fontId="7" fillId="0" borderId="32" xfId="1" applyNumberFormat="1" applyFont="1" applyBorder="1" applyAlignment="1" applyProtection="1">
      <alignment horizontal="center"/>
      <protection locked="0"/>
    </xf>
    <xf numFmtId="1" fontId="7" fillId="0" borderId="48" xfId="1" applyNumberFormat="1" applyFont="1" applyBorder="1" applyAlignment="1" applyProtection="1">
      <alignment horizontal="center"/>
      <protection locked="0"/>
    </xf>
    <xf numFmtId="1" fontId="7" fillId="0" borderId="58" xfId="1" applyNumberFormat="1" applyFont="1" applyBorder="1" applyAlignment="1" applyProtection="1">
      <alignment horizontal="center"/>
      <protection locked="0"/>
    </xf>
    <xf numFmtId="3" fontId="58" fillId="2" borderId="2" xfId="1" applyNumberFormat="1" applyFont="1" applyFill="1" applyBorder="1" applyAlignment="1">
      <alignment horizontal="right"/>
    </xf>
    <xf numFmtId="3" fontId="59" fillId="11" borderId="37" xfId="1" applyNumberFormat="1" applyFont="1" applyFill="1" applyBorder="1" applyProtection="1">
      <protection locked="0"/>
    </xf>
    <xf numFmtId="3" fontId="58" fillId="2" borderId="2" xfId="1" applyNumberFormat="1" applyFont="1" applyFill="1" applyBorder="1" applyAlignment="1" applyProtection="1">
      <alignment horizontal="right"/>
    </xf>
    <xf numFmtId="3" fontId="17" fillId="0" borderId="0" xfId="0" applyNumberFormat="1" applyFont="1" applyAlignment="1">
      <alignment horizontal="left" wrapText="1"/>
    </xf>
    <xf numFmtId="3" fontId="12" fillId="0" borderId="8" xfId="1" applyNumberFormat="1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left" wrapText="1"/>
      <protection locked="0"/>
    </xf>
    <xf numFmtId="0" fontId="1" fillId="0" borderId="6" xfId="0" applyFont="1" applyBorder="1"/>
    <xf numFmtId="0" fontId="0" fillId="0" borderId="6" xfId="0" applyBorder="1"/>
    <xf numFmtId="0" fontId="0" fillId="0" borderId="0" xfId="0" applyBorder="1"/>
    <xf numFmtId="166" fontId="35" fillId="12" borderId="18" xfId="1" applyNumberFormat="1" applyFont="1" applyFill="1" applyBorder="1" applyProtection="1"/>
    <xf numFmtId="3" fontId="19" fillId="0" borderId="6" xfId="1" applyNumberFormat="1" applyFont="1" applyBorder="1" applyAlignment="1" applyProtection="1">
      <alignment horizontal="center"/>
      <protection locked="0"/>
    </xf>
    <xf numFmtId="3" fontId="31" fillId="0" borderId="1" xfId="1" applyNumberFormat="1" applyFont="1" applyFill="1" applyBorder="1"/>
    <xf numFmtId="3" fontId="31" fillId="0" borderId="13" xfId="1" applyNumberFormat="1" applyFont="1" applyFill="1" applyBorder="1" applyProtection="1">
      <protection locked="0"/>
    </xf>
    <xf numFmtId="1" fontId="26" fillId="12" borderId="54" xfId="1" applyNumberFormat="1" applyFont="1" applyFill="1" applyBorder="1" applyAlignment="1" applyProtection="1">
      <alignment horizontal="center"/>
      <protection locked="0"/>
    </xf>
    <xf numFmtId="3" fontId="19" fillId="6" borderId="16" xfId="1" applyNumberFormat="1" applyFont="1" applyFill="1" applyBorder="1" applyAlignment="1" applyProtection="1">
      <alignment horizontal="right"/>
    </xf>
    <xf numFmtId="3" fontId="19" fillId="0" borderId="13" xfId="1" applyNumberFormat="1" applyFont="1" applyFill="1" applyBorder="1"/>
    <xf numFmtId="3" fontId="19" fillId="0" borderId="2" xfId="1" applyNumberFormat="1" applyFont="1" applyBorder="1" applyAlignment="1" applyProtection="1">
      <alignment horizontal="right"/>
    </xf>
    <xf numFmtId="3" fontId="19" fillId="0" borderId="7" xfId="1" applyNumberFormat="1" applyFont="1" applyBorder="1" applyAlignment="1" applyProtection="1">
      <alignment horizontal="right"/>
    </xf>
    <xf numFmtId="3" fontId="7" fillId="0" borderId="8" xfId="1" applyNumberFormat="1" applyFont="1" applyFill="1" applyBorder="1" applyAlignment="1">
      <alignment horizontal="center"/>
    </xf>
    <xf numFmtId="3" fontId="7" fillId="0" borderId="8" xfId="1" applyNumberFormat="1" applyFont="1" applyFill="1" applyBorder="1" applyAlignment="1">
      <alignment horizontal="center" wrapText="1"/>
    </xf>
    <xf numFmtId="0" fontId="36" fillId="0" borderId="0" xfId="2" applyFont="1" applyFill="1" applyAlignment="1" applyProtection="1"/>
    <xf numFmtId="0" fontId="36" fillId="0" borderId="0" xfId="2" applyFont="1" applyFill="1" applyAlignment="1" applyProtection="1">
      <alignment wrapText="1"/>
    </xf>
    <xf numFmtId="0" fontId="14" fillId="0" borderId="0" xfId="1" applyFont="1" applyProtection="1">
      <protection locked="0"/>
    </xf>
    <xf numFmtId="0" fontId="2" fillId="0" borderId="0" xfId="1" applyProtection="1">
      <protection locked="0"/>
    </xf>
    <xf numFmtId="0" fontId="36" fillId="0" borderId="0" xfId="2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37" fillId="0" borderId="0" xfId="1" applyFont="1" applyAlignment="1" applyProtection="1">
      <alignment horizontal="left"/>
    </xf>
    <xf numFmtId="0" fontId="37" fillId="0" borderId="0" xfId="1" applyFont="1" applyProtection="1">
      <protection locked="0"/>
    </xf>
    <xf numFmtId="0" fontId="38" fillId="0" borderId="0" xfId="1" applyFont="1" applyProtection="1">
      <protection locked="0"/>
    </xf>
    <xf numFmtId="0" fontId="37" fillId="0" borderId="0" xfId="1" applyFont="1" applyAlignment="1" applyProtection="1">
      <alignment horizontal="left"/>
      <protection locked="0"/>
    </xf>
    <xf numFmtId="0" fontId="18" fillId="9" borderId="26" xfId="0" applyFont="1" applyFill="1" applyBorder="1" applyAlignment="1" applyProtection="1">
      <alignment horizontal="center" vertical="center" wrapText="1"/>
    </xf>
    <xf numFmtId="0" fontId="18" fillId="9" borderId="59" xfId="0" applyFont="1" applyFill="1" applyBorder="1" applyAlignment="1" applyProtection="1">
      <alignment horizontal="center" vertical="center" wrapText="1"/>
    </xf>
    <xf numFmtId="3" fontId="17" fillId="0" borderId="25" xfId="0" applyNumberFormat="1" applyFont="1" applyFill="1" applyBorder="1" applyAlignment="1" applyProtection="1">
      <alignment wrapText="1"/>
      <protection locked="0"/>
    </xf>
    <xf numFmtId="3" fontId="17" fillId="0" borderId="25" xfId="0" applyNumberFormat="1" applyFont="1" applyBorder="1" applyAlignment="1" applyProtection="1">
      <alignment wrapText="1"/>
      <protection locked="0"/>
    </xf>
    <xf numFmtId="0" fontId="18" fillId="9" borderId="60" xfId="0" applyFont="1" applyFill="1" applyBorder="1" applyAlignment="1" applyProtection="1">
      <alignment horizontal="left" wrapText="1"/>
    </xf>
    <xf numFmtId="3" fontId="18" fillId="9" borderId="61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18" fillId="9" borderId="29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10" fontId="17" fillId="0" borderId="0" xfId="0" applyNumberFormat="1" applyFont="1" applyFill="1" applyBorder="1" applyAlignment="1" applyProtection="1">
      <alignment horizontal="center" wrapText="1"/>
    </xf>
    <xf numFmtId="10" fontId="18" fillId="0" borderId="0" xfId="0" applyNumberFormat="1" applyFont="1" applyFill="1" applyBorder="1" applyAlignment="1" applyProtection="1">
      <alignment horizontal="center" wrapText="1"/>
    </xf>
    <xf numFmtId="0" fontId="18" fillId="0" borderId="0" xfId="0" applyFont="1" applyFill="1" applyBorder="1" applyAlignment="1" applyProtection="1">
      <alignment horizontal="left" wrapText="1"/>
    </xf>
    <xf numFmtId="3" fontId="18" fillId="0" borderId="0" xfId="0" applyNumberFormat="1" applyFont="1" applyFill="1" applyBorder="1" applyAlignment="1" applyProtection="1">
      <alignment wrapText="1"/>
    </xf>
    <xf numFmtId="0" fontId="0" fillId="0" borderId="0" xfId="0" applyFill="1" applyProtection="1">
      <protection locked="0"/>
    </xf>
    <xf numFmtId="0" fontId="2" fillId="0" borderId="0" xfId="1" applyFont="1" applyProtection="1"/>
    <xf numFmtId="0" fontId="12" fillId="0" borderId="0" xfId="0" applyFont="1" applyFill="1" applyProtection="1"/>
    <xf numFmtId="49" fontId="2" fillId="0" borderId="0" xfId="1" applyNumberForma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left"/>
    </xf>
    <xf numFmtId="49" fontId="2" fillId="0" borderId="0" xfId="1" applyNumberFormat="1" applyProtection="1"/>
    <xf numFmtId="3" fontId="17" fillId="0" borderId="25" xfId="0" applyNumberFormat="1" applyFont="1" applyFill="1" applyBorder="1" applyAlignment="1" applyProtection="1">
      <alignment wrapText="1"/>
    </xf>
    <xf numFmtId="3" fontId="17" fillId="0" borderId="25" xfId="0" applyNumberFormat="1" applyFont="1" applyBorder="1" applyAlignment="1" applyProtection="1">
      <alignment wrapText="1"/>
    </xf>
    <xf numFmtId="3" fontId="31" fillId="0" borderId="8" xfId="1" applyNumberFormat="1" applyFont="1" applyFill="1" applyBorder="1" applyAlignment="1">
      <alignment horizontal="center" wrapText="1"/>
    </xf>
    <xf numFmtId="3" fontId="31" fillId="0" borderId="1" xfId="1" applyNumberFormat="1" applyFont="1" applyFill="1" applyBorder="1" applyAlignment="1">
      <alignment horizontal="left" wrapText="1"/>
    </xf>
    <xf numFmtId="3" fontId="31" fillId="8" borderId="2" xfId="1" applyNumberFormat="1" applyFont="1" applyFill="1" applyBorder="1" applyProtection="1"/>
    <xf numFmtId="3" fontId="31" fillId="11" borderId="37" xfId="1" applyNumberFormat="1" applyFont="1" applyFill="1" applyBorder="1" applyProtection="1">
      <protection locked="0"/>
    </xf>
    <xf numFmtId="0" fontId="47" fillId="0" borderId="0" xfId="1" applyFont="1" applyFill="1"/>
    <xf numFmtId="0" fontId="31" fillId="0" borderId="0" xfId="1" applyFont="1" applyFill="1"/>
    <xf numFmtId="3" fontId="19" fillId="0" borderId="8" xfId="1" applyNumberFormat="1" applyFont="1" applyFill="1" applyBorder="1" applyAlignment="1">
      <alignment horizontal="center" wrapText="1"/>
    </xf>
    <xf numFmtId="49" fontId="31" fillId="0" borderId="1" xfId="1" applyNumberFormat="1" applyFont="1" applyFill="1" applyBorder="1" applyAlignment="1">
      <alignment horizontal="center"/>
    </xf>
    <xf numFmtId="0" fontId="12" fillId="0" borderId="0" xfId="2" applyFont="1" applyFill="1" applyProtection="1">
      <protection locked="0"/>
    </xf>
    <xf numFmtId="0" fontId="12" fillId="0" borderId="0" xfId="2" applyFont="1" applyFill="1" applyProtection="1">
      <protection locked="0" hidden="1"/>
    </xf>
    <xf numFmtId="0" fontId="2" fillId="0" borderId="0" xfId="1" applyFont="1" applyProtection="1">
      <protection locked="0"/>
    </xf>
    <xf numFmtId="0" fontId="2" fillId="0" borderId="0" xfId="1" applyFill="1" applyProtection="1">
      <protection locked="0"/>
    </xf>
    <xf numFmtId="3" fontId="31" fillId="0" borderId="16" xfId="1" applyNumberFormat="1" applyFont="1" applyFill="1" applyBorder="1" applyAlignment="1" applyProtection="1">
      <alignment horizontal="right"/>
    </xf>
    <xf numFmtId="3" fontId="31" fillId="8" borderId="16" xfId="1" applyNumberFormat="1" applyFont="1" applyFill="1" applyBorder="1" applyAlignment="1" applyProtection="1">
      <alignment horizontal="right"/>
    </xf>
    <xf numFmtId="3" fontId="19" fillId="8" borderId="16" xfId="1" applyNumberFormat="1" applyFont="1" applyFill="1" applyBorder="1" applyProtection="1"/>
    <xf numFmtId="3" fontId="10" fillId="3" borderId="10" xfId="1" applyNumberFormat="1" applyFont="1" applyFill="1" applyBorder="1" applyProtection="1"/>
    <xf numFmtId="0" fontId="2" fillId="0" borderId="0" xfId="1" applyNumberFormat="1" applyProtection="1"/>
    <xf numFmtId="0" fontId="21" fillId="7" borderId="26" xfId="2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/>
      <protection locked="0"/>
    </xf>
    <xf numFmtId="0" fontId="21" fillId="7" borderId="59" xfId="2" applyFont="1" applyFill="1" applyBorder="1" applyAlignment="1" applyProtection="1">
      <alignment horizontal="center" vertical="center" wrapText="1"/>
      <protection locked="0"/>
    </xf>
    <xf numFmtId="1" fontId="22" fillId="0" borderId="32" xfId="1" applyNumberFormat="1" applyFont="1" applyBorder="1" applyAlignment="1" applyProtection="1">
      <alignment horizontal="center"/>
      <protection locked="0"/>
    </xf>
    <xf numFmtId="3" fontId="22" fillId="0" borderId="12" xfId="1" applyNumberFormat="1" applyFont="1" applyBorder="1"/>
    <xf numFmtId="0" fontId="60" fillId="0" borderId="0" xfId="0" applyFont="1" applyBorder="1"/>
    <xf numFmtId="0" fontId="60" fillId="0" borderId="0" xfId="0" applyFont="1"/>
    <xf numFmtId="0" fontId="60" fillId="0" borderId="0" xfId="0" applyFont="1" applyBorder="1" applyProtection="1">
      <protection locked="0"/>
    </xf>
    <xf numFmtId="3" fontId="31" fillId="0" borderId="16" xfId="1" applyNumberFormat="1" applyFont="1" applyFill="1" applyBorder="1" applyAlignment="1" applyProtection="1">
      <alignment horizontal="right"/>
      <protection locked="0"/>
    </xf>
    <xf numFmtId="3" fontId="31" fillId="0" borderId="16" xfId="1" applyNumberFormat="1" applyFont="1" applyFill="1" applyBorder="1" applyProtection="1">
      <protection locked="0"/>
    </xf>
    <xf numFmtId="1" fontId="4" fillId="11" borderId="83" xfId="1" applyNumberFormat="1" applyFont="1" applyFill="1" applyBorder="1" applyAlignment="1" applyProtection="1">
      <alignment horizontal="center"/>
    </xf>
    <xf numFmtId="0" fontId="14" fillId="0" borderId="25" xfId="1" applyFont="1" applyBorder="1" applyProtection="1"/>
    <xf numFmtId="0" fontId="24" fillId="0" borderId="0" xfId="1" applyFont="1" applyAlignment="1" applyProtection="1">
      <alignment horizontal="left"/>
    </xf>
    <xf numFmtId="3" fontId="31" fillId="0" borderId="4" xfId="1" applyNumberFormat="1" applyFont="1" applyFill="1" applyBorder="1" applyAlignment="1" applyProtection="1">
      <alignment horizontal="right"/>
      <protection locked="0"/>
    </xf>
    <xf numFmtId="3" fontId="31" fillId="0" borderId="4" xfId="1" applyNumberFormat="1" applyFont="1" applyFill="1" applyBorder="1" applyProtection="1">
      <protection locked="0"/>
    </xf>
    <xf numFmtId="49" fontId="31" fillId="0" borderId="1" xfId="1" applyNumberFormat="1" applyFont="1" applyFill="1" applyBorder="1" applyAlignment="1" applyProtection="1">
      <alignment horizontal="center"/>
      <protection locked="0"/>
    </xf>
    <xf numFmtId="3" fontId="31" fillId="0" borderId="1" xfId="1" applyNumberFormat="1" applyFont="1" applyFill="1" applyBorder="1" applyProtection="1">
      <protection locked="0"/>
    </xf>
    <xf numFmtId="1" fontId="31" fillId="0" borderId="53" xfId="1" applyNumberFormat="1" applyFont="1" applyFill="1" applyBorder="1" applyAlignment="1" applyProtection="1">
      <alignment horizontal="center"/>
      <protection locked="0"/>
    </xf>
    <xf numFmtId="3" fontId="19" fillId="0" borderId="3" xfId="1" applyNumberFormat="1" applyFont="1" applyFill="1" applyBorder="1"/>
    <xf numFmtId="3" fontId="22" fillId="6" borderId="10" xfId="1" applyNumberFormat="1" applyFont="1" applyFill="1" applyBorder="1" applyAlignment="1" applyProtection="1">
      <alignment horizontal="right"/>
    </xf>
    <xf numFmtId="3" fontId="22" fillId="8" borderId="10" xfId="1" applyNumberFormat="1" applyFont="1" applyFill="1" applyBorder="1" applyAlignment="1" applyProtection="1">
      <alignment horizontal="right"/>
    </xf>
    <xf numFmtId="3" fontId="22" fillId="8" borderId="10" xfId="1" applyNumberFormat="1" applyFont="1" applyFill="1" applyBorder="1" applyProtection="1"/>
    <xf numFmtId="3" fontId="22" fillId="11" borderId="37" xfId="1" applyNumberFormat="1" applyFont="1" applyFill="1" applyBorder="1" applyProtection="1">
      <protection locked="0"/>
    </xf>
    <xf numFmtId="1" fontId="32" fillId="0" borderId="32" xfId="1" applyNumberFormat="1" applyFont="1" applyBorder="1" applyAlignment="1" applyProtection="1">
      <alignment horizontal="center"/>
      <protection locked="0"/>
    </xf>
    <xf numFmtId="3" fontId="32" fillId="0" borderId="12" xfId="1" applyNumberFormat="1" applyFont="1" applyBorder="1"/>
    <xf numFmtId="3" fontId="32" fillId="0" borderId="10" xfId="1" applyNumberFormat="1" applyFont="1" applyFill="1" applyBorder="1" applyAlignment="1" applyProtection="1">
      <alignment horizontal="right"/>
    </xf>
    <xf numFmtId="3" fontId="32" fillId="6" borderId="10" xfId="1" applyNumberFormat="1" applyFont="1" applyFill="1" applyBorder="1" applyAlignment="1" applyProtection="1">
      <alignment horizontal="right"/>
    </xf>
    <xf numFmtId="3" fontId="32" fillId="8" borderId="10" xfId="1" applyNumberFormat="1" applyFont="1" applyFill="1" applyBorder="1" applyAlignment="1" applyProtection="1">
      <alignment horizontal="right"/>
    </xf>
    <xf numFmtId="3" fontId="32" fillId="8" borderId="10" xfId="1" applyNumberFormat="1" applyFont="1" applyFill="1" applyBorder="1" applyProtection="1"/>
    <xf numFmtId="3" fontId="32" fillId="11" borderId="37" xfId="1" applyNumberFormat="1" applyFont="1" applyFill="1" applyBorder="1" applyProtection="1">
      <protection locked="0"/>
    </xf>
    <xf numFmtId="0" fontId="33" fillId="0" borderId="0" xfId="1" applyFont="1" applyFill="1"/>
    <xf numFmtId="0" fontId="32" fillId="0" borderId="0" xfId="1" applyFont="1" applyFill="1"/>
    <xf numFmtId="3" fontId="46" fillId="0" borderId="6" xfId="1" applyNumberFormat="1" applyFont="1" applyBorder="1" applyAlignment="1">
      <alignment horizontal="center" wrapText="1"/>
    </xf>
    <xf numFmtId="0" fontId="50" fillId="12" borderId="62" xfId="0" applyFont="1" applyFill="1" applyBorder="1" applyAlignment="1" applyProtection="1">
      <alignment horizontal="left" vertical="center" wrapText="1"/>
    </xf>
    <xf numFmtId="3" fontId="50" fillId="12" borderId="25" xfId="0" applyNumberFormat="1" applyFont="1" applyFill="1" applyBorder="1" applyAlignment="1" applyProtection="1">
      <alignment wrapText="1"/>
    </xf>
    <xf numFmtId="0" fontId="18" fillId="9" borderId="63" xfId="0" applyFont="1" applyFill="1" applyBorder="1" applyAlignment="1" applyProtection="1">
      <alignment horizontal="center" vertical="center" wrapText="1"/>
    </xf>
    <xf numFmtId="0" fontId="17" fillId="9" borderId="27" xfId="0" applyFont="1" applyFill="1" applyBorder="1" applyAlignment="1" applyProtection="1">
      <alignment horizontal="left" vertical="center" wrapText="1"/>
    </xf>
    <xf numFmtId="3" fontId="7" fillId="8" borderId="7" xfId="1" applyNumberFormat="1" applyFont="1" applyFill="1" applyBorder="1" applyAlignment="1" applyProtection="1">
      <alignment horizontal="right"/>
    </xf>
    <xf numFmtId="0" fontId="0" fillId="0" borderId="0" xfId="0" applyAlignment="1">
      <alignment horizontal="left" vertical="top"/>
    </xf>
    <xf numFmtId="3" fontId="12" fillId="0" borderId="28" xfId="2" applyNumberFormat="1" applyFont="1" applyBorder="1" applyAlignment="1" applyProtection="1">
      <alignment horizontal="right" vertical="center"/>
      <protection hidden="1"/>
    </xf>
    <xf numFmtId="3" fontId="12" fillId="0" borderId="28" xfId="2" applyNumberFormat="1" applyFont="1" applyFill="1" applyBorder="1" applyAlignment="1" applyProtection="1">
      <alignment horizontal="right" vertical="center" wrapText="1"/>
    </xf>
    <xf numFmtId="3" fontId="2" fillId="11" borderId="10" xfId="1" applyNumberFormat="1" applyFont="1" applyFill="1" applyBorder="1" applyAlignment="1" applyProtection="1">
      <alignment horizontal="right"/>
    </xf>
    <xf numFmtId="3" fontId="2" fillId="11" borderId="18" xfId="1" applyNumberFormat="1" applyFont="1" applyFill="1" applyBorder="1" applyAlignment="1" applyProtection="1">
      <alignment horizontal="right"/>
    </xf>
    <xf numFmtId="3" fontId="14" fillId="0" borderId="21" xfId="1" applyNumberFormat="1" applyFont="1" applyBorder="1" applyProtection="1"/>
    <xf numFmtId="3" fontId="31" fillId="11" borderId="10" xfId="1" applyNumberFormat="1" applyFont="1" applyFill="1" applyBorder="1" applyAlignment="1" applyProtection="1">
      <alignment horizontal="right"/>
    </xf>
    <xf numFmtId="3" fontId="21" fillId="11" borderId="10" xfId="1" applyNumberFormat="1" applyFont="1" applyFill="1" applyBorder="1" applyAlignment="1" applyProtection="1">
      <alignment horizontal="right"/>
    </xf>
    <xf numFmtId="3" fontId="49" fillId="11" borderId="10" xfId="1" applyNumberFormat="1" applyFont="1" applyFill="1" applyBorder="1" applyAlignment="1" applyProtection="1">
      <alignment horizontal="right"/>
    </xf>
    <xf numFmtId="3" fontId="2" fillId="11" borderId="16" xfId="1" applyNumberFormat="1" applyFont="1" applyFill="1" applyBorder="1" applyAlignment="1" applyProtection="1">
      <alignment horizontal="right"/>
    </xf>
    <xf numFmtId="3" fontId="14" fillId="0" borderId="64" xfId="1" applyNumberFormat="1" applyFont="1" applyBorder="1" applyProtection="1"/>
    <xf numFmtId="3" fontId="2" fillId="11" borderId="7" xfId="1" applyNumberFormat="1" applyFont="1" applyFill="1" applyBorder="1" applyAlignment="1" applyProtection="1">
      <alignment horizontal="right"/>
    </xf>
    <xf numFmtId="3" fontId="18" fillId="12" borderId="25" xfId="0" applyNumberFormat="1" applyFont="1" applyFill="1" applyBorder="1" applyAlignment="1" applyProtection="1">
      <alignment horizontal="center" wrapText="1"/>
    </xf>
    <xf numFmtId="3" fontId="17" fillId="0" borderId="65" xfId="0" applyNumberFormat="1" applyFont="1" applyBorder="1" applyAlignment="1" applyProtection="1">
      <alignment horizontal="center" wrapText="1"/>
    </xf>
    <xf numFmtId="3" fontId="18" fillId="9" borderId="66" xfId="0" applyNumberFormat="1" applyFont="1" applyFill="1" applyBorder="1" applyAlignment="1" applyProtection="1">
      <alignment horizontal="center" wrapText="1"/>
    </xf>
    <xf numFmtId="166" fontId="50" fillId="12" borderId="25" xfId="0" applyNumberFormat="1" applyFont="1" applyFill="1" applyBorder="1" applyAlignment="1" applyProtection="1">
      <alignment wrapText="1"/>
    </xf>
    <xf numFmtId="166" fontId="17" fillId="0" borderId="25" xfId="0" applyNumberFormat="1" applyFont="1" applyFill="1" applyBorder="1" applyAlignment="1" applyProtection="1">
      <alignment wrapText="1"/>
    </xf>
    <xf numFmtId="166" fontId="17" fillId="0" borderId="25" xfId="0" applyNumberFormat="1" applyFont="1" applyBorder="1" applyAlignment="1" applyProtection="1">
      <alignment wrapText="1"/>
    </xf>
    <xf numFmtId="166" fontId="18" fillId="9" borderId="61" xfId="0" applyNumberFormat="1" applyFont="1" applyFill="1" applyBorder="1" applyAlignment="1" applyProtection="1">
      <alignment wrapText="1"/>
    </xf>
    <xf numFmtId="0" fontId="24" fillId="0" borderId="0" xfId="1" applyFont="1" applyAlignment="1" applyProtection="1"/>
    <xf numFmtId="0" fontId="18" fillId="9" borderId="67" xfId="0" applyFont="1" applyFill="1" applyBorder="1" applyAlignment="1" applyProtection="1">
      <alignment horizontal="center" vertical="center" wrapText="1"/>
    </xf>
    <xf numFmtId="0" fontId="1" fillId="12" borderId="21" xfId="0" applyFont="1" applyFill="1" applyBorder="1" applyAlignment="1" applyProtection="1">
      <alignment horizontal="center" vertical="center" wrapText="1"/>
    </xf>
    <xf numFmtId="3" fontId="18" fillId="12" borderId="28" xfId="0" applyNumberFormat="1" applyFont="1" applyFill="1" applyBorder="1" applyAlignment="1" applyProtection="1">
      <alignment horizontal="center" wrapText="1"/>
    </xf>
    <xf numFmtId="0" fontId="1" fillId="9" borderId="68" xfId="0" applyFont="1" applyFill="1" applyBorder="1" applyAlignment="1" applyProtection="1">
      <alignment horizontal="center" vertical="center" wrapText="1"/>
    </xf>
    <xf numFmtId="3" fontId="18" fillId="0" borderId="25" xfId="0" applyNumberFormat="1" applyFont="1" applyFill="1" applyBorder="1" applyAlignment="1" applyProtection="1">
      <alignment horizontal="center" wrapText="1"/>
    </xf>
    <xf numFmtId="3" fontId="18" fillId="0" borderId="28" xfId="0" applyNumberFormat="1" applyFont="1" applyFill="1" applyBorder="1" applyAlignment="1" applyProtection="1">
      <alignment horizontal="center" wrapText="1"/>
    </xf>
    <xf numFmtId="0" fontId="15" fillId="9" borderId="69" xfId="0" applyFont="1" applyFill="1" applyBorder="1" applyAlignment="1" applyProtection="1">
      <alignment horizontal="left" wrapText="1"/>
    </xf>
    <xf numFmtId="3" fontId="18" fillId="9" borderId="61" xfId="0" applyNumberFormat="1" applyFont="1" applyFill="1" applyBorder="1" applyAlignment="1" applyProtection="1">
      <alignment horizontal="center" wrapText="1"/>
    </xf>
    <xf numFmtId="3" fontId="18" fillId="9" borderId="70" xfId="0" applyNumberFormat="1" applyFont="1" applyFill="1" applyBorder="1" applyAlignment="1" applyProtection="1">
      <alignment horizontal="center" wrapText="1"/>
    </xf>
    <xf numFmtId="3" fontId="17" fillId="0" borderId="28" xfId="0" applyNumberFormat="1" applyFont="1" applyFill="1" applyBorder="1" applyAlignment="1" applyProtection="1">
      <alignment horizontal="center" wrapText="1"/>
    </xf>
    <xf numFmtId="3" fontId="2" fillId="0" borderId="0" xfId="1" applyNumberFormat="1" applyAlignment="1" applyProtection="1"/>
    <xf numFmtId="0" fontId="12" fillId="0" borderId="0" xfId="0" applyNumberFormat="1" applyFont="1" applyFill="1" applyProtection="1"/>
    <xf numFmtId="0" fontId="0" fillId="13" borderId="0" xfId="0" applyFill="1"/>
    <xf numFmtId="3" fontId="17" fillId="10" borderId="25" xfId="0" applyNumberFormat="1" applyFont="1" applyFill="1" applyBorder="1" applyAlignment="1" applyProtection="1">
      <alignment wrapText="1"/>
    </xf>
    <xf numFmtId="3" fontId="0" fillId="10" borderId="0" xfId="0" applyNumberFormat="1" applyFill="1" applyProtection="1">
      <protection locked="0"/>
    </xf>
    <xf numFmtId="3" fontId="61" fillId="14" borderId="25" xfId="0" applyNumberFormat="1" applyFont="1" applyFill="1" applyBorder="1"/>
    <xf numFmtId="3" fontId="62" fillId="0" borderId="0" xfId="0" applyNumberFormat="1" applyFont="1" applyFill="1" applyBorder="1" applyAlignment="1">
      <alignment horizontal="right"/>
    </xf>
    <xf numFmtId="0" fontId="52" fillId="0" borderId="0" xfId="0" applyFont="1" applyAlignment="1" applyProtection="1">
      <alignment horizontal="center" wrapText="1"/>
    </xf>
    <xf numFmtId="0" fontId="39" fillId="0" borderId="0" xfId="0" applyFont="1" applyAlignment="1" applyProtection="1">
      <alignment horizontal="right"/>
    </xf>
    <xf numFmtId="0" fontId="53" fillId="0" borderId="0" xfId="0" applyFont="1" applyFill="1" applyBorder="1" applyAlignment="1" applyProtection="1">
      <alignment wrapText="1"/>
    </xf>
    <xf numFmtId="0" fontId="53" fillId="0" borderId="0" xfId="0" applyFont="1" applyProtection="1"/>
    <xf numFmtId="0" fontId="15" fillId="0" borderId="0" xfId="0" applyFont="1" applyFill="1"/>
    <xf numFmtId="164" fontId="29" fillId="7" borderId="27" xfId="2" quotePrefix="1" applyNumberFormat="1" applyFont="1" applyFill="1" applyBorder="1" applyAlignment="1" applyProtection="1">
      <alignment horizontal="center" vertical="center"/>
    </xf>
    <xf numFmtId="165" fontId="29" fillId="8" borderId="25" xfId="2" quotePrefix="1" applyNumberFormat="1" applyFont="1" applyFill="1" applyBorder="1" applyAlignment="1" applyProtection="1">
      <alignment horizontal="center" vertical="center" wrapText="1"/>
    </xf>
    <xf numFmtId="3" fontId="3" fillId="0" borderId="25" xfId="2" applyNumberFormat="1" applyFont="1" applyFill="1" applyBorder="1" applyAlignment="1" applyProtection="1">
      <alignment horizontal="right" vertical="center"/>
      <protection hidden="1"/>
    </xf>
    <xf numFmtId="3" fontId="3" fillId="0" borderId="28" xfId="2" applyNumberFormat="1" applyFont="1" applyBorder="1" applyAlignment="1" applyProtection="1">
      <alignment horizontal="right" vertical="center"/>
      <protection hidden="1"/>
    </xf>
    <xf numFmtId="0" fontId="63" fillId="0" borderId="0" xfId="0" applyFont="1" applyBorder="1" applyAlignment="1">
      <alignment wrapText="1"/>
    </xf>
    <xf numFmtId="0" fontId="15" fillId="0" borderId="0" xfId="0" applyFont="1"/>
    <xf numFmtId="3" fontId="12" fillId="0" borderId="25" xfId="2" applyNumberFormat="1" applyFont="1" applyFill="1" applyBorder="1" applyAlignment="1" applyProtection="1">
      <alignment vertical="center" wrapText="1"/>
    </xf>
    <xf numFmtId="0" fontId="1" fillId="13" borderId="0" xfId="0" applyFont="1" applyFill="1" applyBorder="1"/>
    <xf numFmtId="0" fontId="0" fillId="13" borderId="0" xfId="0" applyFill="1" applyBorder="1"/>
    <xf numFmtId="3" fontId="12" fillId="0" borderId="28" xfId="2" applyNumberFormat="1" applyFont="1" applyFill="1" applyBorder="1" applyAlignment="1" applyProtection="1">
      <alignment horizontal="right" vertical="center"/>
      <protection hidden="1"/>
    </xf>
    <xf numFmtId="3" fontId="19" fillId="0" borderId="6" xfId="1" applyNumberFormat="1" applyFont="1" applyFill="1" applyBorder="1" applyAlignment="1">
      <alignment horizontal="center"/>
    </xf>
    <xf numFmtId="3" fontId="18" fillId="9" borderId="30" xfId="0" applyNumberFormat="1" applyFont="1" applyFill="1" applyBorder="1"/>
    <xf numFmtId="3" fontId="18" fillId="15" borderId="71" xfId="0" applyNumberFormat="1" applyFont="1" applyFill="1" applyBorder="1"/>
    <xf numFmtId="0" fontId="18" fillId="0" borderId="0" xfId="0" applyFont="1" applyBorder="1"/>
    <xf numFmtId="0" fontId="64" fillId="0" borderId="0" xfId="0" applyFont="1"/>
    <xf numFmtId="0" fontId="65" fillId="0" borderId="0" xfId="0" applyFont="1"/>
    <xf numFmtId="0" fontId="65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65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Alignment="1">
      <alignment horizontal="right"/>
    </xf>
    <xf numFmtId="0" fontId="61" fillId="0" borderId="0" xfId="0" applyFont="1" applyBorder="1" applyProtection="1">
      <protection locked="0"/>
    </xf>
    <xf numFmtId="0" fontId="61" fillId="0" borderId="0" xfId="0" applyFont="1"/>
    <xf numFmtId="0" fontId="61" fillId="0" borderId="0" xfId="0" applyFont="1" applyBorder="1"/>
    <xf numFmtId="0" fontId="39" fillId="9" borderId="72" xfId="0" applyFont="1" applyFill="1" applyBorder="1" applyAlignment="1">
      <alignment horizontal="left" vertical="center" wrapText="1"/>
    </xf>
    <xf numFmtId="0" fontId="39" fillId="9" borderId="25" xfId="0" applyFont="1" applyFill="1" applyBorder="1" applyAlignment="1">
      <alignment horizontal="left" vertical="center" wrapText="1"/>
    </xf>
    <xf numFmtId="0" fontId="39" fillId="9" borderId="7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3" fontId="54" fillId="10" borderId="0" xfId="0" applyNumberFormat="1" applyFont="1" applyFill="1" applyProtection="1">
      <protection locked="0"/>
    </xf>
    <xf numFmtId="3" fontId="21" fillId="0" borderId="25" xfId="2" applyNumberFormat="1" applyFont="1" applyFill="1" applyBorder="1" applyAlignment="1" applyProtection="1">
      <alignment horizontal="right" vertical="center"/>
      <protection hidden="1"/>
    </xf>
    <xf numFmtId="3" fontId="21" fillId="0" borderId="28" xfId="2" applyNumberFormat="1" applyFont="1" applyBorder="1" applyAlignment="1" applyProtection="1">
      <alignment horizontal="right" vertical="center"/>
      <protection hidden="1"/>
    </xf>
    <xf numFmtId="0" fontId="36" fillId="0" borderId="0" xfId="2" applyFont="1" applyFill="1" applyAlignment="1" applyProtection="1">
      <alignment horizontal="left"/>
      <protection locked="0"/>
    </xf>
    <xf numFmtId="0" fontId="53" fillId="0" borderId="0" xfId="0" applyFont="1" applyProtection="1">
      <protection locked="0"/>
    </xf>
    <xf numFmtId="0" fontId="2" fillId="0" borderId="25" xfId="1" applyNumberFormat="1" applyFont="1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2" fillId="0" borderId="0" xfId="3" applyFont="1" applyFill="1" applyAlignment="1" applyProtection="1">
      <alignment horizontal="left"/>
      <protection locked="0"/>
    </xf>
    <xf numFmtId="49" fontId="23" fillId="0" borderId="0" xfId="0" applyNumberFormat="1" applyFont="1" applyAlignment="1" applyProtection="1">
      <alignment horizontal="left"/>
      <protection locked="0"/>
    </xf>
    <xf numFmtId="49" fontId="23" fillId="0" borderId="0" xfId="0" applyNumberFormat="1" applyFont="1" applyAlignment="1" applyProtection="1">
      <protection locked="0"/>
    </xf>
    <xf numFmtId="0" fontId="12" fillId="0" borderId="0" xfId="3" applyFont="1" applyFill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0" fontId="12" fillId="0" borderId="0" xfId="0" applyNumberFormat="1" applyFont="1" applyFill="1" applyAlignment="1" applyProtection="1">
      <alignment horizontal="left"/>
      <protection locked="0"/>
    </xf>
    <xf numFmtId="3" fontId="23" fillId="0" borderId="0" xfId="0" applyNumberFormat="1" applyFont="1" applyAlignment="1" applyProtection="1">
      <alignment horizontal="left" wrapText="1"/>
      <protection locked="0"/>
    </xf>
    <xf numFmtId="3" fontId="1" fillId="0" borderId="0" xfId="0" applyNumberFormat="1" applyFont="1" applyAlignment="1" applyProtection="1">
      <alignment horizontal="center" wrapText="1"/>
      <protection locked="0"/>
    </xf>
    <xf numFmtId="3" fontId="2" fillId="0" borderId="0" xfId="1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2" fillId="0" borderId="27" xfId="1" applyNumberFormat="1" applyFont="1" applyFill="1" applyBorder="1" applyAlignment="1" applyProtection="1">
      <alignment horizontal="left"/>
      <protection locked="0"/>
    </xf>
    <xf numFmtId="49" fontId="2" fillId="0" borderId="60" xfId="1" applyNumberFormat="1" applyFont="1" applyFill="1" applyBorder="1" applyAlignment="1" applyProtection="1">
      <alignment horizontal="left"/>
      <protection locked="0"/>
    </xf>
    <xf numFmtId="0" fontId="2" fillId="0" borderId="61" xfId="1" applyNumberFormat="1" applyFont="1" applyFill="1" applyBorder="1" applyAlignment="1" applyProtection="1">
      <alignment horizontal="left"/>
      <protection locked="0"/>
    </xf>
    <xf numFmtId="49" fontId="2" fillId="0" borderId="62" xfId="1" applyNumberFormat="1" applyFont="1" applyFill="1" applyBorder="1" applyAlignment="1" applyProtection="1">
      <alignment horizontal="left"/>
      <protection locked="0"/>
    </xf>
    <xf numFmtId="0" fontId="2" fillId="0" borderId="31" xfId="1" applyNumberFormat="1" applyFont="1" applyFill="1" applyBorder="1" applyAlignment="1" applyProtection="1">
      <alignment horizontal="left"/>
      <protection locked="0"/>
    </xf>
    <xf numFmtId="164" fontId="4" fillId="7" borderId="60" xfId="2" quotePrefix="1" applyNumberFormat="1" applyFont="1" applyFill="1" applyBorder="1" applyAlignment="1" applyProtection="1">
      <alignment horizontal="center" vertical="center"/>
    </xf>
    <xf numFmtId="0" fontId="29" fillId="7" borderId="61" xfId="2" applyFont="1" applyFill="1" applyBorder="1" applyAlignment="1" applyProtection="1">
      <alignment vertical="center" wrapText="1"/>
    </xf>
    <xf numFmtId="165" fontId="4" fillId="7" borderId="61" xfId="2" quotePrefix="1" applyNumberFormat="1" applyFont="1" applyFill="1" applyBorder="1" applyAlignment="1" applyProtection="1">
      <alignment horizontal="center" vertical="center" wrapText="1"/>
    </xf>
    <xf numFmtId="3" fontId="21" fillId="0" borderId="61" xfId="2" applyNumberFormat="1" applyFont="1" applyFill="1" applyBorder="1" applyAlignment="1" applyProtection="1">
      <alignment horizontal="right" vertical="center"/>
      <protection hidden="1"/>
    </xf>
    <xf numFmtId="3" fontId="21" fillId="0" borderId="70" xfId="2" applyNumberFormat="1" applyFont="1" applyBorder="1" applyAlignment="1" applyProtection="1">
      <alignment horizontal="right" vertical="center"/>
      <protection hidden="1"/>
    </xf>
    <xf numFmtId="1" fontId="19" fillId="16" borderId="45" xfId="1" applyNumberFormat="1" applyFont="1" applyFill="1" applyBorder="1" applyAlignment="1" applyProtection="1">
      <alignment horizontal="center"/>
      <protection locked="0"/>
    </xf>
    <xf numFmtId="3" fontId="22" fillId="16" borderId="23" xfId="1" applyNumberFormat="1" applyFont="1" applyFill="1" applyBorder="1"/>
    <xf numFmtId="3" fontId="22" fillId="16" borderId="10" xfId="1" applyNumberFormat="1" applyFont="1" applyFill="1" applyBorder="1" applyAlignment="1" applyProtection="1">
      <alignment horizontal="right"/>
    </xf>
    <xf numFmtId="1" fontId="19" fillId="16" borderId="74" xfId="1" applyNumberFormat="1" applyFont="1" applyFill="1" applyBorder="1" applyAlignment="1" applyProtection="1">
      <alignment horizontal="center"/>
      <protection locked="0"/>
    </xf>
    <xf numFmtId="3" fontId="22" fillId="16" borderId="3" xfId="1" applyNumberFormat="1" applyFont="1" applyFill="1" applyBorder="1"/>
    <xf numFmtId="1" fontId="19" fillId="16" borderId="75" xfId="1" applyNumberFormat="1" applyFont="1" applyFill="1" applyBorder="1" applyAlignment="1" applyProtection="1">
      <alignment horizontal="center"/>
      <protection locked="0"/>
    </xf>
    <xf numFmtId="3" fontId="22" fillId="16" borderId="39" xfId="1" applyNumberFormat="1" applyFont="1" applyFill="1" applyBorder="1"/>
    <xf numFmtId="3" fontId="32" fillId="16" borderId="76" xfId="1" applyNumberFormat="1" applyFont="1" applyFill="1" applyBorder="1" applyAlignment="1" applyProtection="1">
      <alignment horizontal="right"/>
    </xf>
    <xf numFmtId="3" fontId="32" fillId="16" borderId="39" xfId="1" applyNumberFormat="1" applyFont="1" applyFill="1" applyBorder="1"/>
    <xf numFmtId="1" fontId="8" fillId="10" borderId="47" xfId="1" applyNumberFormat="1" applyFont="1" applyFill="1" applyBorder="1" applyAlignment="1" applyProtection="1">
      <alignment horizontal="center"/>
      <protection locked="0"/>
    </xf>
    <xf numFmtId="3" fontId="8" fillId="10" borderId="38" xfId="1" applyNumberFormat="1" applyFont="1" applyFill="1" applyBorder="1"/>
    <xf numFmtId="3" fontId="66" fillId="10" borderId="17" xfId="1" applyNumberFormat="1" applyFont="1" applyFill="1" applyBorder="1" applyProtection="1"/>
    <xf numFmtId="3" fontId="66" fillId="10" borderId="15" xfId="1" applyNumberFormat="1" applyFont="1" applyFill="1" applyBorder="1" applyProtection="1"/>
    <xf numFmtId="3" fontId="66" fillId="10" borderId="17" xfId="1" applyNumberFormat="1" applyFont="1" applyFill="1" applyBorder="1" applyAlignment="1" applyProtection="1">
      <alignment horizontal="right"/>
    </xf>
    <xf numFmtId="3" fontId="66" fillId="10" borderId="17" xfId="1" applyNumberFormat="1" applyFont="1" applyFill="1" applyBorder="1"/>
    <xf numFmtId="3" fontId="66" fillId="10" borderId="10" xfId="1" applyNumberFormat="1" applyFont="1" applyFill="1" applyBorder="1" applyProtection="1"/>
    <xf numFmtId="3" fontId="8" fillId="11" borderId="37" xfId="1" applyNumberFormat="1" applyFont="1" applyFill="1" applyBorder="1" applyProtection="1"/>
    <xf numFmtId="3" fontId="56" fillId="11" borderId="10" xfId="1" applyNumberFormat="1" applyFont="1" applyFill="1" applyBorder="1" applyAlignment="1" applyProtection="1">
      <alignment horizontal="right"/>
    </xf>
    <xf numFmtId="1" fontId="8" fillId="10" borderId="48" xfId="1" applyNumberFormat="1" applyFont="1" applyFill="1" applyBorder="1" applyAlignment="1" applyProtection="1">
      <alignment horizontal="center"/>
      <protection locked="0"/>
    </xf>
    <xf numFmtId="3" fontId="8" fillId="10" borderId="11" xfId="1" applyNumberFormat="1" applyFont="1" applyFill="1" applyBorder="1"/>
    <xf numFmtId="3" fontId="66" fillId="10" borderId="2" xfId="1" applyNumberFormat="1" applyFont="1" applyFill="1" applyBorder="1" applyAlignment="1" applyProtection="1">
      <alignment horizontal="right"/>
    </xf>
    <xf numFmtId="3" fontId="66" fillId="10" borderId="9" xfId="1" applyNumberFormat="1" applyFont="1" applyFill="1" applyBorder="1" applyProtection="1"/>
    <xf numFmtId="3" fontId="66" fillId="10" borderId="2" xfId="1" applyNumberFormat="1" applyFont="1" applyFill="1" applyBorder="1"/>
    <xf numFmtId="1" fontId="8" fillId="10" borderId="49" xfId="1" applyNumberFormat="1" applyFont="1" applyFill="1" applyBorder="1" applyAlignment="1" applyProtection="1">
      <alignment horizontal="center"/>
      <protection locked="0"/>
    </xf>
    <xf numFmtId="3" fontId="9" fillId="10" borderId="39" xfId="1" applyNumberFormat="1" applyFont="1" applyFill="1" applyBorder="1"/>
    <xf numFmtId="166" fontId="67" fillId="10" borderId="18" xfId="1" applyNumberFormat="1" applyFont="1" applyFill="1" applyBorder="1" applyProtection="1"/>
    <xf numFmtId="166" fontId="67" fillId="10" borderId="18" xfId="1" applyNumberFormat="1" applyFont="1" applyFill="1" applyBorder="1" applyAlignment="1">
      <alignment horizontal="right"/>
    </xf>
    <xf numFmtId="166" fontId="67" fillId="10" borderId="18" xfId="1" applyNumberFormat="1" applyFont="1" applyFill="1" applyBorder="1"/>
    <xf numFmtId="3" fontId="66" fillId="10" borderId="18" xfId="1" applyNumberFormat="1" applyFont="1" applyFill="1" applyBorder="1"/>
    <xf numFmtId="3" fontId="56" fillId="11" borderId="18" xfId="1" applyNumberFormat="1" applyFont="1" applyFill="1" applyBorder="1" applyAlignment="1" applyProtection="1">
      <alignment horizontal="right"/>
    </xf>
    <xf numFmtId="0" fontId="2" fillId="0" borderId="77" xfId="1" applyNumberFormat="1" applyFont="1" applyFill="1" applyBorder="1" applyAlignment="1" applyProtection="1">
      <alignment horizontal="left" vertical="center" wrapText="1"/>
      <protection locked="0"/>
    </xf>
    <xf numFmtId="0" fontId="2" fillId="0" borderId="70" xfId="1" applyNumberFormat="1" applyFont="1" applyFill="1" applyBorder="1" applyAlignment="1" applyProtection="1">
      <alignment horizontal="left" vertical="center" wrapText="1"/>
      <protection locked="0"/>
    </xf>
    <xf numFmtId="3" fontId="19" fillId="0" borderId="13" xfId="1" applyNumberFormat="1" applyFont="1" applyFill="1" applyBorder="1" applyProtection="1">
      <protection locked="0"/>
    </xf>
    <xf numFmtId="3" fontId="24" fillId="11" borderId="78" xfId="1" applyNumberFormat="1" applyFont="1" applyFill="1" applyBorder="1" applyAlignment="1" applyProtection="1">
      <alignment horizontal="left" vertical="center" wrapText="1"/>
      <protection locked="0"/>
    </xf>
    <xf numFmtId="3" fontId="24" fillId="11" borderId="79" xfId="1" applyNumberFormat="1" applyFont="1" applyFill="1" applyBorder="1" applyAlignment="1" applyProtection="1">
      <alignment horizontal="left" vertical="center"/>
      <protection locked="0"/>
    </xf>
    <xf numFmtId="3" fontId="25" fillId="11" borderId="80" xfId="1" applyNumberFormat="1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/>
    <xf numFmtId="3" fontId="0" fillId="14" borderId="0" xfId="0" applyNumberFormat="1" applyFill="1"/>
    <xf numFmtId="0" fontId="1" fillId="0" borderId="0" xfId="0" applyFont="1"/>
    <xf numFmtId="49" fontId="1" fillId="4" borderId="5" xfId="0" applyNumberFormat="1" applyFont="1" applyFill="1" applyBorder="1" applyAlignment="1" applyProtection="1">
      <protection locked="0"/>
    </xf>
    <xf numFmtId="0" fontId="52" fillId="0" borderId="0" xfId="0" applyFont="1" applyAlignment="1" applyProtection="1">
      <alignment horizontal="center" wrapText="1"/>
    </xf>
    <xf numFmtId="0" fontId="39" fillId="4" borderId="5" xfId="0" applyFont="1" applyFill="1" applyBorder="1" applyAlignment="1" applyProtection="1">
      <alignment horizontal="left" wrapText="1"/>
      <protection locked="0"/>
    </xf>
    <xf numFmtId="49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21" fillId="0" borderId="0" xfId="2" applyFont="1" applyFill="1" applyAlignment="1">
      <alignment horizontal="left"/>
    </xf>
    <xf numFmtId="0" fontId="26" fillId="0" borderId="0" xfId="2" applyFont="1" applyFill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68" fillId="15" borderId="81" xfId="0" applyFont="1" applyFill="1" applyBorder="1" applyAlignment="1">
      <alignment horizontal="left" vertical="top" wrapText="1"/>
    </xf>
    <xf numFmtId="3" fontId="23" fillId="0" borderId="0" xfId="0" applyNumberFormat="1" applyFont="1" applyAlignment="1" applyProtection="1">
      <alignment horizontal="left" wrapText="1"/>
    </xf>
    <xf numFmtId="0" fontId="68" fillId="0" borderId="81" xfId="0" applyFont="1" applyFill="1" applyBorder="1" applyAlignment="1">
      <alignment horizontal="left" vertical="top" wrapText="1"/>
    </xf>
    <xf numFmtId="0" fontId="68" fillId="13" borderId="81" xfId="0" applyFont="1" applyFill="1" applyBorder="1" applyAlignment="1">
      <alignment horizontal="left" vertical="top" wrapText="1"/>
    </xf>
    <xf numFmtId="0" fontId="22" fillId="11" borderId="30" xfId="1" applyFont="1" applyFill="1" applyBorder="1" applyAlignment="1" applyProtection="1">
      <alignment horizontal="center" vertical="center" wrapText="1"/>
    </xf>
    <xf numFmtId="0" fontId="22" fillId="11" borderId="37" xfId="1" applyFont="1" applyFill="1" applyBorder="1" applyAlignment="1" applyProtection="1">
      <alignment horizontal="center" vertical="center" wrapText="1"/>
    </xf>
    <xf numFmtId="0" fontId="22" fillId="11" borderId="84" xfId="1" applyFont="1" applyFill="1" applyBorder="1" applyAlignment="1" applyProtection="1">
      <alignment horizontal="center" vertical="center" wrapText="1"/>
    </xf>
    <xf numFmtId="0" fontId="23" fillId="0" borderId="0" xfId="0" applyNumberFormat="1" applyFont="1" applyAlignment="1" applyProtection="1">
      <alignment horizontal="left" wrapText="1"/>
    </xf>
    <xf numFmtId="0" fontId="22" fillId="11" borderId="35" xfId="1" applyFont="1" applyFill="1" applyBorder="1" applyAlignment="1" applyProtection="1">
      <alignment horizontal="center" vertical="center" wrapText="1"/>
    </xf>
    <xf numFmtId="0" fontId="25" fillId="11" borderId="33" xfId="1" applyFont="1" applyFill="1" applyBorder="1" applyAlignment="1">
      <alignment horizontal="center" vertical="center" wrapText="1"/>
    </xf>
    <xf numFmtId="0" fontId="25" fillId="11" borderId="71" xfId="1" applyFont="1" applyFill="1" applyBorder="1" applyAlignment="1">
      <alignment horizontal="center" vertical="center" wrapText="1"/>
    </xf>
    <xf numFmtId="0" fontId="25" fillId="11" borderId="82" xfId="1" applyFont="1" applyFill="1" applyBorder="1" applyAlignment="1">
      <alignment horizontal="center" vertical="center" wrapText="1"/>
    </xf>
    <xf numFmtId="0" fontId="25" fillId="11" borderId="36" xfId="1" applyFont="1" applyFill="1" applyBorder="1" applyAlignment="1">
      <alignment horizontal="center" vertical="center" wrapText="1"/>
    </xf>
    <xf numFmtId="0" fontId="25" fillId="11" borderId="6" xfId="1" applyFont="1" applyFill="1" applyBorder="1" applyAlignment="1">
      <alignment horizontal="center" vertical="center" wrapText="1"/>
    </xf>
    <xf numFmtId="0" fontId="25" fillId="11" borderId="21" xfId="1" applyFont="1" applyFill="1" applyBorder="1" applyAlignment="1">
      <alignment horizontal="center" vertical="center" wrapText="1"/>
    </xf>
    <xf numFmtId="0" fontId="10" fillId="11" borderId="65" xfId="1" applyFont="1" applyFill="1" applyBorder="1" applyAlignment="1" applyProtection="1">
      <alignment horizontal="center" vertical="center"/>
    </xf>
    <xf numFmtId="0" fontId="10" fillId="11" borderId="73" xfId="1" applyFont="1" applyFill="1" applyBorder="1" applyAlignment="1" applyProtection="1">
      <alignment horizontal="center" vertical="center"/>
    </xf>
    <xf numFmtId="0" fontId="10" fillId="11" borderId="68" xfId="1" applyFont="1" applyFill="1" applyBorder="1" applyAlignment="1" applyProtection="1">
      <alignment horizontal="center" vertical="center"/>
    </xf>
    <xf numFmtId="0" fontId="24" fillId="0" borderId="0" xfId="1" applyFont="1" applyAlignment="1">
      <alignment horizontal="left"/>
    </xf>
    <xf numFmtId="49" fontId="2" fillId="0" borderId="0" xfId="1" applyNumberFormat="1" applyFont="1" applyAlignment="1">
      <alignment horizontal="left"/>
    </xf>
    <xf numFmtId="0" fontId="2" fillId="0" borderId="0" xfId="1" applyNumberFormat="1" applyFont="1" applyAlignment="1">
      <alignment horizontal="left"/>
    </xf>
    <xf numFmtId="3" fontId="17" fillId="0" borderId="0" xfId="0" applyNumberFormat="1" applyFont="1" applyAlignment="1">
      <alignment horizontal="left" wrapText="1"/>
    </xf>
    <xf numFmtId="0" fontId="25" fillId="10" borderId="65" xfId="1" applyFont="1" applyFill="1" applyBorder="1" applyAlignment="1">
      <alignment horizontal="center"/>
    </xf>
    <xf numFmtId="0" fontId="25" fillId="10" borderId="73" xfId="1" applyFont="1" applyFill="1" applyBorder="1" applyAlignment="1">
      <alignment horizontal="center"/>
    </xf>
    <xf numFmtId="0" fontId="25" fillId="10" borderId="68" xfId="1" applyFont="1" applyFill="1" applyBorder="1" applyAlignment="1">
      <alignment horizontal="center"/>
    </xf>
    <xf numFmtId="0" fontId="3" fillId="9" borderId="65" xfId="1" applyFont="1" applyFill="1" applyBorder="1" applyAlignment="1" applyProtection="1">
      <alignment horizontal="center"/>
    </xf>
    <xf numFmtId="0" fontId="3" fillId="9" borderId="73" xfId="1" applyFont="1" applyFill="1" applyBorder="1" applyAlignment="1" applyProtection="1">
      <alignment horizontal="center"/>
    </xf>
    <xf numFmtId="0" fontId="3" fillId="9" borderId="68" xfId="1" applyFont="1" applyFill="1" applyBorder="1" applyAlignment="1" applyProtection="1">
      <alignment horizontal="center"/>
    </xf>
    <xf numFmtId="0" fontId="39" fillId="9" borderId="36" xfId="0" applyFont="1" applyFill="1" applyBorder="1" applyAlignment="1">
      <alignment horizontal="center" vertical="center" wrapText="1"/>
    </xf>
    <xf numFmtId="0" fontId="39" fillId="9" borderId="6" xfId="0" applyFont="1" applyFill="1" applyBorder="1" applyAlignment="1">
      <alignment horizontal="center" vertical="center" wrapText="1"/>
    </xf>
    <xf numFmtId="0" fontId="39" fillId="9" borderId="21" xfId="0" applyFont="1" applyFill="1" applyBorder="1" applyAlignment="1">
      <alignment horizontal="center" vertical="center" wrapText="1"/>
    </xf>
    <xf numFmtId="0" fontId="69" fillId="15" borderId="0" xfId="0" applyFont="1" applyFill="1" applyBorder="1" applyAlignment="1" applyProtection="1">
      <alignment horizontal="left" wrapText="1"/>
    </xf>
    <xf numFmtId="0" fontId="24" fillId="0" borderId="0" xfId="1" applyFont="1" applyAlignment="1" applyProtection="1">
      <alignment horizontal="left"/>
    </xf>
    <xf numFmtId="3" fontId="2" fillId="0" borderId="0" xfId="1" applyNumberFormat="1" applyAlignment="1" applyProtection="1">
      <alignment horizontal="left"/>
    </xf>
  </cellXfs>
  <cellStyles count="4">
    <cellStyle name="Navadno_fin načrt-mšš postavke" xfId="1"/>
    <cellStyle name="Navadno_IPiOdu-Obr3A" xfId="2"/>
    <cellStyle name="Navadno_IRFdu-Obr3A2" xfId="3"/>
    <cellStyle name="Normal" xfId="0" builtinId="0"/>
  </cellStyles>
  <dxfs count="19">
    <dxf>
      <font>
        <condense val="0"/>
        <extend val="0"/>
        <color rgb="FF9C0006"/>
      </font>
    </dxf>
    <dxf>
      <fill>
        <patternFill patternType="none">
          <bgColor indexed="65"/>
        </patternFill>
      </fill>
    </dxf>
    <dxf>
      <font>
        <condense val="0"/>
        <extend val="0"/>
        <color rgb="FF9C0006"/>
      </font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2:E26"/>
  <sheetViews>
    <sheetView tabSelected="1" workbookViewId="0"/>
  </sheetViews>
  <sheetFormatPr defaultRowHeight="12.75" x14ac:dyDescent="0.2"/>
  <cols>
    <col min="1" max="1" width="31.28515625" style="34" customWidth="1"/>
    <col min="2" max="3" width="30.7109375" style="34" customWidth="1"/>
    <col min="4" max="16384" width="9.140625" style="34"/>
  </cols>
  <sheetData>
    <row r="2" spans="1:5" ht="18" customHeight="1" x14ac:dyDescent="0.3">
      <c r="A2" s="554" t="s">
        <v>377</v>
      </c>
      <c r="B2" s="554"/>
      <c r="C2" s="554"/>
      <c r="D2" s="36"/>
      <c r="E2" s="36"/>
    </row>
    <row r="3" spans="1:5" ht="20.25" x14ac:dyDescent="0.3">
      <c r="A3" s="554" t="s">
        <v>378</v>
      </c>
      <c r="B3" s="554"/>
      <c r="C3" s="554"/>
      <c r="D3" s="48"/>
      <c r="E3" s="48"/>
    </row>
    <row r="4" spans="1:5" ht="15" customHeight="1" x14ac:dyDescent="0.3">
      <c r="A4" s="453"/>
      <c r="B4" s="453"/>
      <c r="C4" s="453"/>
      <c r="D4" s="48"/>
      <c r="E4" s="48"/>
    </row>
    <row r="5" spans="1:5" ht="15" customHeight="1" x14ac:dyDescent="0.3">
      <c r="A5" s="453"/>
      <c r="B5" s="453"/>
      <c r="C5" s="453"/>
      <c r="D5" s="48"/>
      <c r="E5" s="48"/>
    </row>
    <row r="6" spans="1:5" ht="15" customHeight="1" x14ac:dyDescent="0.25">
      <c r="A6" s="48"/>
      <c r="B6" s="48"/>
      <c r="C6" s="48"/>
      <c r="D6" s="48"/>
      <c r="E6" s="48"/>
    </row>
    <row r="7" spans="1:5" ht="15" customHeight="1" x14ac:dyDescent="0.2"/>
    <row r="8" spans="1:5" s="456" customFormat="1" ht="21" customHeight="1" x14ac:dyDescent="0.25">
      <c r="A8" s="454" t="s">
        <v>31</v>
      </c>
      <c r="B8" s="555" t="s">
        <v>395</v>
      </c>
      <c r="C8" s="555"/>
      <c r="D8" s="455"/>
      <c r="E8" s="455"/>
    </row>
    <row r="9" spans="1:5" ht="15" customHeight="1" x14ac:dyDescent="0.2">
      <c r="D9" s="49"/>
      <c r="E9" s="49"/>
    </row>
    <row r="10" spans="1:5" ht="15" customHeight="1" x14ac:dyDescent="0.2"/>
    <row r="11" spans="1:5" ht="15" customHeight="1" x14ac:dyDescent="0.2"/>
    <row r="12" spans="1:5" ht="15" customHeight="1" x14ac:dyDescent="0.2"/>
    <row r="13" spans="1:5" x14ac:dyDescent="0.2">
      <c r="A13" s="37" t="s">
        <v>30</v>
      </c>
      <c r="B13" s="50"/>
      <c r="C13" s="51"/>
    </row>
    <row r="14" spans="1:5" x14ac:dyDescent="0.2">
      <c r="A14" s="52"/>
      <c r="B14" s="50"/>
      <c r="C14" s="32"/>
    </row>
    <row r="15" spans="1:5" x14ac:dyDescent="0.2">
      <c r="A15" s="553" t="s">
        <v>397</v>
      </c>
      <c r="B15" s="53"/>
      <c r="C15" s="53"/>
    </row>
    <row r="16" spans="1:5" x14ac:dyDescent="0.2">
      <c r="A16" s="52"/>
      <c r="B16" s="50"/>
      <c r="C16" s="54"/>
    </row>
    <row r="17" spans="1:3" x14ac:dyDescent="0.2">
      <c r="A17" s="52"/>
      <c r="B17" s="50"/>
      <c r="C17" s="54"/>
    </row>
    <row r="18" spans="1:3" ht="13.5" customHeight="1" x14ac:dyDescent="0.2">
      <c r="A18" s="39" t="s">
        <v>32</v>
      </c>
      <c r="B18" s="32"/>
      <c r="C18" s="38" t="s">
        <v>7</v>
      </c>
    </row>
    <row r="19" spans="1:3" x14ac:dyDescent="0.2">
      <c r="A19" s="32" t="s">
        <v>33</v>
      </c>
      <c r="B19" s="32"/>
      <c r="C19" s="33" t="s">
        <v>33</v>
      </c>
    </row>
    <row r="20" spans="1:3" x14ac:dyDescent="0.2">
      <c r="A20" s="32"/>
      <c r="B20" s="32"/>
      <c r="C20" s="33"/>
    </row>
    <row r="21" spans="1:3" x14ac:dyDescent="0.2">
      <c r="A21" s="553" t="s">
        <v>398</v>
      </c>
      <c r="B21" s="53"/>
      <c r="C21" s="228" t="s">
        <v>400</v>
      </c>
    </row>
    <row r="24" spans="1:3" x14ac:dyDescent="0.2">
      <c r="A24" s="40" t="s">
        <v>34</v>
      </c>
    </row>
    <row r="26" spans="1:3" x14ac:dyDescent="0.2">
      <c r="A26" s="35" t="s">
        <v>399</v>
      </c>
    </row>
  </sheetData>
  <sheetProtection password="CDEB" sheet="1"/>
  <mergeCells count="3">
    <mergeCell ref="A2:C2"/>
    <mergeCell ref="B8:C8"/>
    <mergeCell ref="A3:C3"/>
  </mergeCells>
  <phoneticPr fontId="16" type="noConversion"/>
  <printOptions horizontalCentered="1"/>
  <pageMargins left="0.39370078740157483" right="0.39370078740157483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M108"/>
  <sheetViews>
    <sheetView view="pageBreakPreview" topLeftCell="A61" zoomScaleNormal="80" zoomScaleSheetLayoutView="100" workbookViewId="0">
      <selection activeCell="E79" sqref="E79"/>
    </sheetView>
  </sheetViews>
  <sheetFormatPr defaultRowHeight="12.75" x14ac:dyDescent="0.2"/>
  <cols>
    <col min="1" max="1" width="4.140625" customWidth="1"/>
    <col min="2" max="2" width="10.42578125" style="57" customWidth="1"/>
    <col min="3" max="3" width="55.5703125" style="57" customWidth="1"/>
    <col min="4" max="4" width="8.5703125" style="57" customWidth="1"/>
    <col min="5" max="6" width="20.7109375" style="58" customWidth="1"/>
    <col min="7" max="7" width="16.28515625" style="58" customWidth="1"/>
    <col min="8" max="8" width="28.140625" customWidth="1"/>
  </cols>
  <sheetData>
    <row r="1" spans="1:9" s="56" customFormat="1" ht="15.75" customHeight="1" x14ac:dyDescent="0.25">
      <c r="A1" s="55" t="s">
        <v>175</v>
      </c>
      <c r="B1" s="559" t="s">
        <v>379</v>
      </c>
      <c r="C1" s="559"/>
      <c r="D1" s="559"/>
      <c r="E1" s="559"/>
      <c r="F1" s="559"/>
      <c r="G1" s="559"/>
    </row>
    <row r="2" spans="1:9" ht="16.5" customHeight="1" x14ac:dyDescent="0.2">
      <c r="B2" s="138"/>
      <c r="C2" s="138"/>
      <c r="D2" s="138"/>
      <c r="E2" s="138"/>
      <c r="F2" s="138"/>
      <c r="G2" s="138"/>
    </row>
    <row r="4" spans="1:9" s="59" customFormat="1" x14ac:dyDescent="0.2">
      <c r="A4" s="60" t="s">
        <v>176</v>
      </c>
      <c r="B4" s="60" t="s">
        <v>43</v>
      </c>
      <c r="C4" s="57"/>
      <c r="D4" s="57"/>
      <c r="E4" s="58"/>
      <c r="F4" s="58"/>
      <c r="G4" s="58"/>
    </row>
    <row r="5" spans="1:9" s="59" customFormat="1" x14ac:dyDescent="0.2">
      <c r="B5" s="60" t="s">
        <v>204</v>
      </c>
      <c r="C5" s="57"/>
      <c r="D5" s="57"/>
      <c r="E5" s="58"/>
      <c r="F5" s="58"/>
      <c r="G5" s="58"/>
    </row>
    <row r="6" spans="1:9" x14ac:dyDescent="0.2">
      <c r="B6" s="60"/>
    </row>
    <row r="7" spans="1:9" ht="15" x14ac:dyDescent="0.25">
      <c r="B7" s="61" t="s">
        <v>35</v>
      </c>
      <c r="C7" s="558" t="str">
        <f>Članica!B8</f>
        <v>FAKULTETA ZA KEMIJO IN KEMIJSKO TEHNOLOGIJO</v>
      </c>
      <c r="D7" s="558"/>
      <c r="E7" s="558"/>
      <c r="F7" s="558"/>
      <c r="G7" s="136"/>
    </row>
    <row r="9" spans="1:9" ht="13.5" thickBot="1" x14ac:dyDescent="0.25">
      <c r="E9" s="130"/>
      <c r="F9" s="130"/>
      <c r="G9" s="130"/>
    </row>
    <row r="10" spans="1:9" ht="39.75" customHeight="1" x14ac:dyDescent="0.2">
      <c r="B10" s="176" t="s">
        <v>206</v>
      </c>
      <c r="C10" s="177" t="s">
        <v>38</v>
      </c>
      <c r="D10" s="168" t="s">
        <v>39</v>
      </c>
      <c r="E10" s="378" t="s">
        <v>389</v>
      </c>
      <c r="F10" s="378" t="s">
        <v>380</v>
      </c>
      <c r="G10" s="380" t="s">
        <v>390</v>
      </c>
    </row>
    <row r="11" spans="1:9" x14ac:dyDescent="0.2">
      <c r="A11" s="174"/>
      <c r="B11" s="169" t="s">
        <v>40</v>
      </c>
      <c r="C11" s="158" t="s">
        <v>41</v>
      </c>
      <c r="D11" s="158" t="s">
        <v>42</v>
      </c>
      <c r="E11" s="159">
        <v>5</v>
      </c>
      <c r="F11" s="159">
        <v>6</v>
      </c>
      <c r="G11" s="170" t="s">
        <v>328</v>
      </c>
    </row>
    <row r="12" spans="1:9" s="463" customFormat="1" ht="30" customHeight="1" x14ac:dyDescent="0.2">
      <c r="A12" s="457"/>
      <c r="B12" s="458"/>
      <c r="C12" s="160" t="s">
        <v>219</v>
      </c>
      <c r="D12" s="459">
        <v>401</v>
      </c>
      <c r="E12" s="460">
        <v>13318137</v>
      </c>
      <c r="F12" s="460">
        <f>+F13+F42</f>
        <v>13441953</v>
      </c>
      <c r="G12" s="461">
        <f>IF(E12=0,"-",F12/E12*100)</f>
        <v>100.92967957905825</v>
      </c>
      <c r="H12" s="561">
        <f>IF(E12+F12='FN 2011-Realizacija 2011'!N13+'FN 2011-Realizacija 2011'!C13,,"Skupni prihodki v tem izkazu se ne ujemajo s tistimi v tabeli FN 2011-Realizacija 2011 - prosimo USKLADITE")</f>
        <v>0</v>
      </c>
      <c r="I12" s="462"/>
    </row>
    <row r="13" spans="1:9" ht="27" customHeight="1" x14ac:dyDescent="0.2">
      <c r="A13" s="174"/>
      <c r="B13" s="171"/>
      <c r="C13" s="160" t="s">
        <v>220</v>
      </c>
      <c r="D13" s="161">
        <f t="shared" ref="D13:D25" si="0">D12+1</f>
        <v>402</v>
      </c>
      <c r="E13" s="162">
        <v>12868137</v>
      </c>
      <c r="F13" s="162">
        <f>+F14+F31</f>
        <v>13051660</v>
      </c>
      <c r="G13" s="417">
        <f t="shared" ref="G13:G76" si="1">IF(E13=0,"-",F13/E13*100)</f>
        <v>101.42618158323928</v>
      </c>
      <c r="H13" s="561"/>
    </row>
    <row r="14" spans="1:9" ht="22.5" x14ac:dyDescent="0.2">
      <c r="A14" s="174"/>
      <c r="B14" s="171"/>
      <c r="C14" s="160" t="s">
        <v>221</v>
      </c>
      <c r="D14" s="161">
        <f t="shared" si="0"/>
        <v>403</v>
      </c>
      <c r="E14" s="162">
        <v>11730776</v>
      </c>
      <c r="F14" s="162">
        <f>+F15+F18+F21+F24+F29+F30</f>
        <v>12336661</v>
      </c>
      <c r="G14" s="417">
        <f t="shared" si="1"/>
        <v>105.16491833106352</v>
      </c>
      <c r="H14" s="416"/>
    </row>
    <row r="15" spans="1:9" ht="26.25" customHeight="1" x14ac:dyDescent="0.2">
      <c r="A15" s="174"/>
      <c r="B15" s="171"/>
      <c r="C15" s="160" t="s">
        <v>222</v>
      </c>
      <c r="D15" s="202">
        <f t="shared" si="0"/>
        <v>404</v>
      </c>
      <c r="E15" s="162">
        <v>11730776</v>
      </c>
      <c r="F15" s="162">
        <f>SUM(F16:F17)</f>
        <v>12300424</v>
      </c>
      <c r="G15" s="417">
        <f t="shared" si="1"/>
        <v>104.85601293554663</v>
      </c>
      <c r="H15" s="416"/>
    </row>
    <row r="16" spans="1:9" ht="20.100000000000001" customHeight="1" x14ac:dyDescent="0.2">
      <c r="A16" s="174"/>
      <c r="B16" s="172" t="s">
        <v>44</v>
      </c>
      <c r="C16" s="164" t="s">
        <v>45</v>
      </c>
      <c r="D16" s="203">
        <f t="shared" si="0"/>
        <v>405</v>
      </c>
      <c r="E16" s="200">
        <v>10848575</v>
      </c>
      <c r="F16" s="200">
        <f>'FN 2011-Realizacija 2011'!O17+'FN 2011-Realizacija 2011'!P17+'FN 2011-Realizacija 2011'!Q17</f>
        <v>11215022</v>
      </c>
      <c r="G16" s="418">
        <f t="shared" si="1"/>
        <v>103.37783533782085</v>
      </c>
      <c r="H16" s="416"/>
    </row>
    <row r="17" spans="1:13" ht="20.100000000000001" customHeight="1" x14ac:dyDescent="0.2">
      <c r="A17" s="174"/>
      <c r="B17" s="172" t="s">
        <v>44</v>
      </c>
      <c r="C17" s="164" t="s">
        <v>46</v>
      </c>
      <c r="D17" s="202">
        <f t="shared" si="0"/>
        <v>406</v>
      </c>
      <c r="E17" s="200">
        <v>882201</v>
      </c>
      <c r="F17" s="200">
        <f>'FN 2011-Realizacija 2011'!O21+'FN 2011-Realizacija 2011'!P21+'FN 2011-Realizacija 2011'!Q21</f>
        <v>1085402</v>
      </c>
      <c r="G17" s="418">
        <f t="shared" si="1"/>
        <v>123.03341302038876</v>
      </c>
      <c r="H17" s="416"/>
    </row>
    <row r="18" spans="1:13" ht="24.75" customHeight="1" x14ac:dyDescent="0.2">
      <c r="A18" s="174"/>
      <c r="B18" s="171"/>
      <c r="C18" s="160" t="s">
        <v>223</v>
      </c>
      <c r="D18" s="202">
        <f t="shared" si="0"/>
        <v>407</v>
      </c>
      <c r="E18" s="162">
        <v>0</v>
      </c>
      <c r="F18" s="163">
        <f>SUM(F19:F20)</f>
        <v>0</v>
      </c>
      <c r="G18" s="417" t="str">
        <f t="shared" si="1"/>
        <v>-</v>
      </c>
      <c r="H18" s="416"/>
    </row>
    <row r="19" spans="1:13" ht="20.100000000000001" customHeight="1" x14ac:dyDescent="0.2">
      <c r="A19" s="174"/>
      <c r="B19" s="172" t="s">
        <v>47</v>
      </c>
      <c r="C19" s="164" t="s">
        <v>48</v>
      </c>
      <c r="D19" s="202">
        <f t="shared" si="0"/>
        <v>408</v>
      </c>
      <c r="E19" s="200">
        <v>0</v>
      </c>
      <c r="F19" s="200">
        <f>'FN 2011-Realizacija 2011'!R17</f>
        <v>0</v>
      </c>
      <c r="G19" s="418" t="str">
        <f t="shared" si="1"/>
        <v>-</v>
      </c>
      <c r="H19" s="416"/>
    </row>
    <row r="20" spans="1:13" ht="20.100000000000001" customHeight="1" x14ac:dyDescent="0.2">
      <c r="A20" s="174"/>
      <c r="B20" s="172" t="s">
        <v>47</v>
      </c>
      <c r="C20" s="164" t="s">
        <v>49</v>
      </c>
      <c r="D20" s="203">
        <f t="shared" si="0"/>
        <v>409</v>
      </c>
      <c r="E20" s="200">
        <v>0</v>
      </c>
      <c r="F20" s="200">
        <f>'FN 2011-Realizacija 2011'!R21</f>
        <v>0</v>
      </c>
      <c r="G20" s="418" t="str">
        <f t="shared" si="1"/>
        <v>-</v>
      </c>
      <c r="H20" s="416"/>
    </row>
    <row r="21" spans="1:13" ht="25.5" customHeight="1" x14ac:dyDescent="0.2">
      <c r="A21" s="174"/>
      <c r="B21" s="171"/>
      <c r="C21" s="160" t="s">
        <v>224</v>
      </c>
      <c r="D21" s="161">
        <f t="shared" si="0"/>
        <v>410</v>
      </c>
      <c r="E21" s="162">
        <v>0</v>
      </c>
      <c r="F21" s="163">
        <f>SUM(F22:F23)</f>
        <v>0</v>
      </c>
      <c r="G21" s="417" t="str">
        <f t="shared" si="1"/>
        <v>-</v>
      </c>
      <c r="H21" s="416"/>
    </row>
    <row r="22" spans="1:13" ht="20.100000000000001" customHeight="1" x14ac:dyDescent="0.2">
      <c r="B22" s="172" t="s">
        <v>50</v>
      </c>
      <c r="C22" s="164" t="s">
        <v>51</v>
      </c>
      <c r="D22" s="161">
        <f t="shared" si="0"/>
        <v>411</v>
      </c>
      <c r="E22" s="166"/>
      <c r="F22" s="166"/>
      <c r="G22" s="418" t="str">
        <f t="shared" si="1"/>
        <v>-</v>
      </c>
      <c r="H22" s="416"/>
    </row>
    <row r="23" spans="1:13" ht="20.100000000000001" customHeight="1" x14ac:dyDescent="0.2">
      <c r="B23" s="172" t="s">
        <v>50</v>
      </c>
      <c r="C23" s="164" t="s">
        <v>52</v>
      </c>
      <c r="D23" s="165">
        <f t="shared" si="0"/>
        <v>412</v>
      </c>
      <c r="E23" s="166"/>
      <c r="F23" s="166"/>
      <c r="G23" s="418" t="str">
        <f t="shared" si="1"/>
        <v>-</v>
      </c>
      <c r="H23" s="416"/>
    </row>
    <row r="24" spans="1:13" ht="27" customHeight="1" x14ac:dyDescent="0.2">
      <c r="B24" s="171"/>
      <c r="C24" s="160" t="s">
        <v>225</v>
      </c>
      <c r="D24" s="161">
        <f t="shared" si="0"/>
        <v>413</v>
      </c>
      <c r="E24" s="162">
        <v>0</v>
      </c>
      <c r="F24" s="163">
        <f>SUM(F25:F28)</f>
        <v>0</v>
      </c>
      <c r="G24" s="417" t="str">
        <f t="shared" si="1"/>
        <v>-</v>
      </c>
      <c r="H24" s="416"/>
    </row>
    <row r="25" spans="1:13" ht="20.100000000000001" customHeight="1" x14ac:dyDescent="0.2">
      <c r="B25" s="172" t="s">
        <v>53</v>
      </c>
      <c r="C25" s="164" t="s">
        <v>54</v>
      </c>
      <c r="D25" s="161">
        <f t="shared" si="0"/>
        <v>414</v>
      </c>
      <c r="E25" s="166"/>
      <c r="F25" s="166"/>
      <c r="G25" s="418" t="str">
        <f t="shared" si="1"/>
        <v>-</v>
      </c>
      <c r="H25" s="416"/>
    </row>
    <row r="26" spans="1:13" ht="20.100000000000001" customHeight="1" x14ac:dyDescent="0.2">
      <c r="B26" s="172" t="s">
        <v>53</v>
      </c>
      <c r="C26" s="164" t="s">
        <v>55</v>
      </c>
      <c r="D26" s="165">
        <f t="shared" ref="D26:D31" si="2">D25+1</f>
        <v>415</v>
      </c>
      <c r="E26" s="166"/>
      <c r="F26" s="166"/>
      <c r="G26" s="418" t="str">
        <f t="shared" si="1"/>
        <v>-</v>
      </c>
      <c r="H26" s="416"/>
    </row>
    <row r="27" spans="1:13" ht="20.100000000000001" customHeight="1" x14ac:dyDescent="0.2">
      <c r="B27" s="172" t="s">
        <v>56</v>
      </c>
      <c r="C27" s="164" t="s">
        <v>57</v>
      </c>
      <c r="D27" s="165">
        <f t="shared" si="2"/>
        <v>416</v>
      </c>
      <c r="E27" s="166"/>
      <c r="F27" s="166"/>
      <c r="G27" s="418" t="str">
        <f t="shared" si="1"/>
        <v>-</v>
      </c>
      <c r="H27" s="416"/>
    </row>
    <row r="28" spans="1:13" ht="20.100000000000001" customHeight="1" x14ac:dyDescent="0.2">
      <c r="B28" s="172" t="s">
        <v>56</v>
      </c>
      <c r="C28" s="164" t="s">
        <v>58</v>
      </c>
      <c r="D28" s="165">
        <f t="shared" si="2"/>
        <v>417</v>
      </c>
      <c r="E28" s="166"/>
      <c r="F28" s="166"/>
      <c r="G28" s="418" t="str">
        <f t="shared" si="1"/>
        <v>-</v>
      </c>
      <c r="H28" s="416"/>
    </row>
    <row r="29" spans="1:13" ht="20.100000000000001" customHeight="1" x14ac:dyDescent="0.2">
      <c r="B29" s="172" t="s">
        <v>59</v>
      </c>
      <c r="C29" s="160" t="s">
        <v>60</v>
      </c>
      <c r="D29" s="165">
        <f t="shared" si="2"/>
        <v>418</v>
      </c>
      <c r="E29" s="166"/>
      <c r="F29" s="166"/>
      <c r="G29" s="418" t="str">
        <f t="shared" si="1"/>
        <v>-</v>
      </c>
      <c r="H29" s="416"/>
    </row>
    <row r="30" spans="1:13" ht="22.5" x14ac:dyDescent="0.2">
      <c r="B30" s="172" t="s">
        <v>61</v>
      </c>
      <c r="C30" s="160" t="s">
        <v>62</v>
      </c>
      <c r="D30" s="203">
        <f t="shared" si="2"/>
        <v>419</v>
      </c>
      <c r="E30" s="200">
        <v>0</v>
      </c>
      <c r="F30" s="200">
        <f>'FN 2011-Realizacija 2011'!S17+'FN 2011-Realizacija 2011'!S21</f>
        <v>36237</v>
      </c>
      <c r="G30" s="418" t="str">
        <f t="shared" si="1"/>
        <v>-</v>
      </c>
      <c r="H30" s="416"/>
      <c r="I30" s="314" t="s">
        <v>362</v>
      </c>
      <c r="J30" s="315"/>
      <c r="K30" s="315"/>
      <c r="L30" s="315"/>
      <c r="M30" s="315"/>
    </row>
    <row r="31" spans="1:13" ht="22.5" customHeight="1" x14ac:dyDescent="0.2">
      <c r="B31" s="173"/>
      <c r="C31" s="160" t="s">
        <v>226</v>
      </c>
      <c r="D31" s="202">
        <f t="shared" si="2"/>
        <v>420</v>
      </c>
      <c r="E31" s="162">
        <v>1137361</v>
      </c>
      <c r="F31" s="162">
        <f>SUM(F32:F41)</f>
        <v>714999</v>
      </c>
      <c r="G31" s="467">
        <f t="shared" si="1"/>
        <v>62.864736877737151</v>
      </c>
      <c r="H31" s="564">
        <f>IF(E31+F31='FN 2011-Realizacija 2011'!T13+'FN 2011-Realizacija 2011'!U13+'FN 2011-Realizacija 2011'!V13+'FN 2011-Realizacija 2011'!I13+'FN 2011-Realizacija 2011'!J13+'FN 2011-Realizacija 2011'!K13,,"Drugi prihodki v tem izkazu se ne ujemajo s tistimi v tabeli FN 2011-Realizacija 2011 (celica I13+J13+K13+T13+U13+V13) - prosimo USKLADITE")</f>
        <v>0</v>
      </c>
      <c r="I31" s="448"/>
      <c r="J31" s="448"/>
      <c r="K31" s="448"/>
      <c r="L31" s="448"/>
    </row>
    <row r="32" spans="1:13" ht="21" customHeight="1" x14ac:dyDescent="0.2">
      <c r="B32" s="172" t="s">
        <v>63</v>
      </c>
      <c r="C32" s="164" t="s">
        <v>64</v>
      </c>
      <c r="D32" s="202">
        <f>D31+1</f>
        <v>421</v>
      </c>
      <c r="E32" s="200">
        <v>591200</v>
      </c>
      <c r="F32" s="200">
        <f>'FN 2011-Realizacija 2011'!T13</f>
        <v>564175</v>
      </c>
      <c r="G32" s="418">
        <f t="shared" si="1"/>
        <v>95.428788903924229</v>
      </c>
      <c r="H32" s="564"/>
      <c r="I32" s="465"/>
      <c r="J32" s="466"/>
      <c r="K32" s="466"/>
      <c r="L32" s="448"/>
    </row>
    <row r="33" spans="2:13" ht="20.100000000000001" customHeight="1" x14ac:dyDescent="0.2">
      <c r="B33" s="172" t="s">
        <v>65</v>
      </c>
      <c r="C33" s="164" t="s">
        <v>66</v>
      </c>
      <c r="D33" s="165">
        <f t="shared" ref="D33:D42" si="3">D32+1</f>
        <v>422</v>
      </c>
      <c r="E33" s="166">
        <v>28500</v>
      </c>
      <c r="F33" s="166">
        <v>50700</v>
      </c>
      <c r="G33" s="418">
        <f t="shared" si="1"/>
        <v>177.89473684210526</v>
      </c>
      <c r="H33" s="564"/>
    </row>
    <row r="34" spans="2:13" ht="22.5" x14ac:dyDescent="0.2">
      <c r="B34" s="172" t="s">
        <v>178</v>
      </c>
      <c r="C34" s="164" t="s">
        <v>179</v>
      </c>
      <c r="D34" s="165">
        <f t="shared" si="3"/>
        <v>423</v>
      </c>
      <c r="E34" s="166"/>
      <c r="F34" s="166"/>
      <c r="G34" s="418" t="str">
        <f t="shared" si="1"/>
        <v>-</v>
      </c>
      <c r="H34" s="416"/>
    </row>
    <row r="35" spans="2:13" ht="20.100000000000001" customHeight="1" x14ac:dyDescent="0.2">
      <c r="B35" s="172" t="s">
        <v>67</v>
      </c>
      <c r="C35" s="164" t="s">
        <v>68</v>
      </c>
      <c r="D35" s="161">
        <f t="shared" si="3"/>
        <v>424</v>
      </c>
      <c r="E35" s="166">
        <v>264661</v>
      </c>
      <c r="F35" s="166">
        <v>2468</v>
      </c>
      <c r="G35" s="418">
        <f t="shared" si="1"/>
        <v>0.93251366842866912</v>
      </c>
      <c r="H35" s="416"/>
      <c r="I35" s="314" t="s">
        <v>375</v>
      </c>
      <c r="J35" s="315"/>
      <c r="K35" s="315"/>
      <c r="L35" s="315"/>
      <c r="M35" s="316"/>
    </row>
    <row r="36" spans="2:13" ht="20.100000000000001" customHeight="1" x14ac:dyDescent="0.2">
      <c r="B36" s="172" t="s">
        <v>69</v>
      </c>
      <c r="C36" s="164" t="s">
        <v>70</v>
      </c>
      <c r="D36" s="165">
        <f t="shared" si="3"/>
        <v>425</v>
      </c>
      <c r="E36" s="166">
        <v>5000</v>
      </c>
      <c r="F36" s="166">
        <v>1587</v>
      </c>
      <c r="G36" s="418">
        <f t="shared" si="1"/>
        <v>31.740000000000002</v>
      </c>
      <c r="H36" s="416"/>
    </row>
    <row r="37" spans="2:13" ht="20.100000000000001" customHeight="1" x14ac:dyDescent="0.2">
      <c r="B37" s="172" t="s">
        <v>71</v>
      </c>
      <c r="C37" s="164" t="s">
        <v>72</v>
      </c>
      <c r="D37" s="161">
        <f>D36+1</f>
        <v>426</v>
      </c>
      <c r="E37" s="166">
        <v>5000</v>
      </c>
      <c r="F37" s="166">
        <v>87053</v>
      </c>
      <c r="G37" s="418">
        <f t="shared" si="1"/>
        <v>1741.06</v>
      </c>
      <c r="H37" s="416"/>
    </row>
    <row r="38" spans="2:13" ht="20.100000000000001" customHeight="1" x14ac:dyDescent="0.2">
      <c r="B38" s="172" t="s">
        <v>73</v>
      </c>
      <c r="C38" s="164" t="s">
        <v>74</v>
      </c>
      <c r="D38" s="161">
        <f>D37+1</f>
        <v>427</v>
      </c>
      <c r="E38" s="166"/>
      <c r="F38" s="166"/>
      <c r="G38" s="418" t="str">
        <f t="shared" si="1"/>
        <v>-</v>
      </c>
      <c r="H38" s="416"/>
    </row>
    <row r="39" spans="2:13" ht="20.100000000000001" customHeight="1" x14ac:dyDescent="0.2">
      <c r="B39" s="172" t="s">
        <v>75</v>
      </c>
      <c r="C39" s="164" t="s">
        <v>76</v>
      </c>
      <c r="D39" s="161">
        <f>D38+1</f>
        <v>428</v>
      </c>
      <c r="E39" s="166"/>
      <c r="F39" s="166"/>
      <c r="G39" s="418" t="str">
        <f t="shared" si="1"/>
        <v>-</v>
      </c>
      <c r="H39" s="416"/>
    </row>
    <row r="40" spans="2:13" ht="20.100000000000001" customHeight="1" x14ac:dyDescent="0.2">
      <c r="B40" s="172" t="s">
        <v>77</v>
      </c>
      <c r="C40" s="164" t="s">
        <v>78</v>
      </c>
      <c r="D40" s="202">
        <f>D39+1</f>
        <v>429</v>
      </c>
      <c r="E40" s="200">
        <v>243000</v>
      </c>
      <c r="F40" s="200">
        <f>'FN 2011-Realizacija 2011'!U17+'FN 2011-Realizacija 2011'!U21</f>
        <v>9016</v>
      </c>
      <c r="G40" s="418">
        <f t="shared" si="1"/>
        <v>3.7102880658436215</v>
      </c>
      <c r="H40" s="416"/>
      <c r="I40" s="314" t="s">
        <v>359</v>
      </c>
      <c r="J40" s="315"/>
      <c r="K40" s="315"/>
      <c r="L40" s="315"/>
      <c r="M40" s="315"/>
    </row>
    <row r="41" spans="2:13" ht="20.100000000000001" customHeight="1" x14ac:dyDescent="0.2">
      <c r="B41" s="172" t="s">
        <v>79</v>
      </c>
      <c r="C41" s="164" t="s">
        <v>80</v>
      </c>
      <c r="D41" s="161">
        <f>D40+1</f>
        <v>430</v>
      </c>
      <c r="E41" s="166"/>
      <c r="F41" s="166"/>
      <c r="G41" s="418" t="str">
        <f t="shared" si="1"/>
        <v>-</v>
      </c>
      <c r="H41" s="416"/>
      <c r="I41" s="314" t="s">
        <v>388</v>
      </c>
      <c r="J41" s="315"/>
      <c r="K41" s="315"/>
      <c r="L41" s="315"/>
      <c r="M41" s="315"/>
    </row>
    <row r="42" spans="2:13" ht="22.5" x14ac:dyDescent="0.2">
      <c r="B42" s="171"/>
      <c r="C42" s="160" t="s">
        <v>227</v>
      </c>
      <c r="D42" s="202">
        <f t="shared" si="3"/>
        <v>431</v>
      </c>
      <c r="E42" s="464">
        <v>450000</v>
      </c>
      <c r="F42" s="464">
        <f>SUM(F43:F47)</f>
        <v>390293</v>
      </c>
      <c r="G42" s="417">
        <f t="shared" si="1"/>
        <v>86.731777777777779</v>
      </c>
      <c r="H42" s="563">
        <f>IF(E42+F42='FN 2011-Realizacija 2011'!W13+'FN 2011-Realizacija 2011'!L13,,"Tržni prihodki v tem izkazu se ne ujemajo s tistimi v tabeli FN 2011-Realizacija 2011 - prosimo USKLADITE")</f>
        <v>0</v>
      </c>
      <c r="I42" s="137"/>
    </row>
    <row r="43" spans="2:13" ht="20.100000000000001" customHeight="1" x14ac:dyDescent="0.2">
      <c r="B43" s="172" t="s">
        <v>63</v>
      </c>
      <c r="C43" s="164" t="s">
        <v>81</v>
      </c>
      <c r="D43" s="161">
        <f t="shared" ref="D43:D51" si="4">D42+1</f>
        <v>432</v>
      </c>
      <c r="E43" s="166">
        <v>448180</v>
      </c>
      <c r="F43" s="166">
        <v>382493</v>
      </c>
      <c r="G43" s="418">
        <f t="shared" si="1"/>
        <v>85.343611941630598</v>
      </c>
      <c r="H43" s="563"/>
    </row>
    <row r="44" spans="2:13" ht="20.100000000000001" customHeight="1" x14ac:dyDescent="0.2">
      <c r="B44" s="172" t="s">
        <v>65</v>
      </c>
      <c r="C44" s="164" t="s">
        <v>66</v>
      </c>
      <c r="D44" s="165">
        <f t="shared" si="4"/>
        <v>433</v>
      </c>
      <c r="E44" s="166"/>
      <c r="F44" s="166"/>
      <c r="G44" s="418" t="str">
        <f t="shared" si="1"/>
        <v>-</v>
      </c>
      <c r="H44" s="416"/>
    </row>
    <row r="45" spans="2:13" ht="20.100000000000001" customHeight="1" x14ac:dyDescent="0.2">
      <c r="B45" s="172" t="s">
        <v>82</v>
      </c>
      <c r="C45" s="164" t="s">
        <v>83</v>
      </c>
      <c r="D45" s="165">
        <f t="shared" si="4"/>
        <v>434</v>
      </c>
      <c r="E45" s="166">
        <v>1820</v>
      </c>
      <c r="F45" s="166">
        <v>7800</v>
      </c>
      <c r="G45" s="418">
        <f t="shared" si="1"/>
        <v>428.57142857142856</v>
      </c>
      <c r="H45" s="416"/>
    </row>
    <row r="46" spans="2:13" ht="22.5" x14ac:dyDescent="0.2">
      <c r="B46" s="172" t="s">
        <v>178</v>
      </c>
      <c r="C46" s="164" t="s">
        <v>179</v>
      </c>
      <c r="D46" s="161">
        <f t="shared" si="4"/>
        <v>435</v>
      </c>
      <c r="E46" s="166"/>
      <c r="F46" s="166"/>
      <c r="G46" s="418" t="str">
        <f t="shared" si="1"/>
        <v>-</v>
      </c>
      <c r="H46" s="416"/>
    </row>
    <row r="47" spans="2:13" ht="20.100000000000001" customHeight="1" x14ac:dyDescent="0.2">
      <c r="B47" s="172" t="s">
        <v>67</v>
      </c>
      <c r="C47" s="164" t="s">
        <v>84</v>
      </c>
      <c r="D47" s="165">
        <f t="shared" si="4"/>
        <v>436</v>
      </c>
      <c r="E47" s="166"/>
      <c r="F47" s="166"/>
      <c r="G47" s="418" t="str">
        <f t="shared" si="1"/>
        <v>-</v>
      </c>
      <c r="H47" s="416"/>
      <c r="I47" s="137"/>
    </row>
    <row r="48" spans="2:13" s="463" customFormat="1" ht="30" customHeight="1" x14ac:dyDescent="0.2">
      <c r="B48" s="458"/>
      <c r="C48" s="160" t="s">
        <v>228</v>
      </c>
      <c r="D48" s="459">
        <f t="shared" si="4"/>
        <v>437</v>
      </c>
      <c r="E48" s="460">
        <v>12916557</v>
      </c>
      <c r="F48" s="460">
        <f>+F49+F92</f>
        <v>12713895</v>
      </c>
      <c r="G48" s="461">
        <f t="shared" si="1"/>
        <v>98.430990549571376</v>
      </c>
      <c r="H48" s="561">
        <f>IF(E48+F48='FN 2011-Realizacija 2011'!N14+'FN 2011-Realizacija 2011'!C14,,"Skupni odhodki v tem izkazu se ne ujemajo s tistimi v tabeli FN 2011-Realizacija 2011 - prosimo USKLADITE")</f>
        <v>0</v>
      </c>
    </row>
    <row r="49" spans="2:8" ht="22.5" x14ac:dyDescent="0.2">
      <c r="B49" s="171"/>
      <c r="C49" s="160" t="s">
        <v>229</v>
      </c>
      <c r="D49" s="161">
        <f t="shared" si="4"/>
        <v>438</v>
      </c>
      <c r="E49" s="162">
        <v>12622312</v>
      </c>
      <c r="F49" s="162">
        <f>+F50+F58+F64+F75+F76+F77+F78+F79+F80+F81</f>
        <v>12422374</v>
      </c>
      <c r="G49" s="417">
        <f t="shared" si="1"/>
        <v>98.415995421441011</v>
      </c>
      <c r="H49" s="561"/>
    </row>
    <row r="50" spans="2:8" ht="22.5" x14ac:dyDescent="0.2">
      <c r="B50" s="171"/>
      <c r="C50" s="160" t="s">
        <v>230</v>
      </c>
      <c r="D50" s="161">
        <f t="shared" si="4"/>
        <v>439</v>
      </c>
      <c r="E50" s="162">
        <v>7600409</v>
      </c>
      <c r="F50" s="163">
        <f>SUM(F51:F57)</f>
        <v>7421949</v>
      </c>
      <c r="G50" s="417">
        <f t="shared" si="1"/>
        <v>97.651968466433843</v>
      </c>
      <c r="H50" s="416"/>
    </row>
    <row r="51" spans="2:8" ht="20.100000000000001" customHeight="1" x14ac:dyDescent="0.2">
      <c r="B51" s="172" t="s">
        <v>85</v>
      </c>
      <c r="C51" s="164" t="s">
        <v>86</v>
      </c>
      <c r="D51" s="165">
        <f t="shared" si="4"/>
        <v>440</v>
      </c>
      <c r="E51" s="166">
        <v>6762832</v>
      </c>
      <c r="F51" s="166">
        <v>6702454</v>
      </c>
      <c r="G51" s="418">
        <f t="shared" si="1"/>
        <v>99.107208341120995</v>
      </c>
      <c r="H51" s="416"/>
    </row>
    <row r="52" spans="2:8" ht="20.100000000000001" customHeight="1" x14ac:dyDescent="0.2">
      <c r="B52" s="172" t="s">
        <v>87</v>
      </c>
      <c r="C52" s="164" t="s">
        <v>3</v>
      </c>
      <c r="D52" s="161">
        <f t="shared" ref="D52:D58" si="5">D51+1</f>
        <v>441</v>
      </c>
      <c r="E52" s="166">
        <v>146154</v>
      </c>
      <c r="F52" s="166">
        <v>146381</v>
      </c>
      <c r="G52" s="418">
        <f t="shared" si="1"/>
        <v>100.15531562598355</v>
      </c>
      <c r="H52" s="416"/>
    </row>
    <row r="53" spans="2:8" ht="20.100000000000001" customHeight="1" x14ac:dyDescent="0.2">
      <c r="B53" s="172" t="s">
        <v>88</v>
      </c>
      <c r="C53" s="164" t="s">
        <v>89</v>
      </c>
      <c r="D53" s="161">
        <f t="shared" si="5"/>
        <v>442</v>
      </c>
      <c r="E53" s="166">
        <v>354029</v>
      </c>
      <c r="F53" s="166">
        <v>376182</v>
      </c>
      <c r="G53" s="418">
        <f t="shared" si="1"/>
        <v>106.2573969929017</v>
      </c>
      <c r="H53" s="416"/>
    </row>
    <row r="54" spans="2:8" ht="20.100000000000001" customHeight="1" x14ac:dyDescent="0.2">
      <c r="B54" s="172" t="s">
        <v>90</v>
      </c>
      <c r="C54" s="164" t="s">
        <v>91</v>
      </c>
      <c r="D54" s="165">
        <f t="shared" si="5"/>
        <v>443</v>
      </c>
      <c r="E54" s="166"/>
      <c r="F54" s="166"/>
      <c r="G54" s="418" t="str">
        <f t="shared" si="1"/>
        <v>-</v>
      </c>
      <c r="H54" s="416"/>
    </row>
    <row r="55" spans="2:8" ht="20.100000000000001" customHeight="1" x14ac:dyDescent="0.2">
      <c r="B55" s="172" t="s">
        <v>92</v>
      </c>
      <c r="C55" s="164" t="s">
        <v>93</v>
      </c>
      <c r="D55" s="165">
        <f t="shared" si="5"/>
        <v>444</v>
      </c>
      <c r="E55" s="166">
        <v>187183</v>
      </c>
      <c r="F55" s="166">
        <v>172404</v>
      </c>
      <c r="G55" s="418">
        <f t="shared" si="1"/>
        <v>92.104518038497091</v>
      </c>
      <c r="H55" s="416"/>
    </row>
    <row r="56" spans="2:8" ht="20.100000000000001" customHeight="1" x14ac:dyDescent="0.2">
      <c r="B56" s="172" t="s">
        <v>94</v>
      </c>
      <c r="C56" s="164" t="s">
        <v>95</v>
      </c>
      <c r="D56" s="161">
        <f t="shared" si="5"/>
        <v>445</v>
      </c>
      <c r="E56" s="166"/>
      <c r="F56" s="166"/>
      <c r="G56" s="418" t="str">
        <f t="shared" si="1"/>
        <v>-</v>
      </c>
      <c r="H56" s="416"/>
    </row>
    <row r="57" spans="2:8" ht="20.100000000000001" customHeight="1" x14ac:dyDescent="0.2">
      <c r="B57" s="172" t="s">
        <v>96</v>
      </c>
      <c r="C57" s="164" t="s">
        <v>97</v>
      </c>
      <c r="D57" s="165">
        <f t="shared" si="5"/>
        <v>446</v>
      </c>
      <c r="E57" s="166">
        <v>150211</v>
      </c>
      <c r="F57" s="166">
        <v>24528</v>
      </c>
      <c r="G57" s="418">
        <f t="shared" si="1"/>
        <v>16.329030497100742</v>
      </c>
      <c r="H57" s="416"/>
    </row>
    <row r="58" spans="2:8" ht="22.5" x14ac:dyDescent="0.2">
      <c r="B58" s="171"/>
      <c r="C58" s="160" t="s">
        <v>231</v>
      </c>
      <c r="D58" s="161">
        <f t="shared" si="5"/>
        <v>447</v>
      </c>
      <c r="E58" s="162">
        <v>1206213</v>
      </c>
      <c r="F58" s="163">
        <f>SUM(F59:F63)</f>
        <v>1196928</v>
      </c>
      <c r="G58" s="417">
        <f t="shared" si="1"/>
        <v>99.230235455926945</v>
      </c>
      <c r="H58" s="416"/>
    </row>
    <row r="59" spans="2:8" ht="20.100000000000001" customHeight="1" x14ac:dyDescent="0.2">
      <c r="B59" s="172" t="s">
        <v>98</v>
      </c>
      <c r="C59" s="164" t="s">
        <v>99</v>
      </c>
      <c r="D59" s="165">
        <f t="shared" ref="D59:D65" si="6">D58+1</f>
        <v>448</v>
      </c>
      <c r="E59" s="166">
        <v>615077</v>
      </c>
      <c r="F59" s="166">
        <v>609471</v>
      </c>
      <c r="G59" s="418">
        <f t="shared" si="1"/>
        <v>99.088569398628138</v>
      </c>
      <c r="H59" s="416"/>
    </row>
    <row r="60" spans="2:8" ht="20.100000000000001" customHeight="1" x14ac:dyDescent="0.2">
      <c r="B60" s="172" t="s">
        <v>100</v>
      </c>
      <c r="C60" s="164" t="s">
        <v>101</v>
      </c>
      <c r="D60" s="161">
        <f t="shared" si="6"/>
        <v>449</v>
      </c>
      <c r="E60" s="166">
        <v>492756</v>
      </c>
      <c r="F60" s="166">
        <v>488260</v>
      </c>
      <c r="G60" s="418">
        <f t="shared" si="1"/>
        <v>99.087580871668735</v>
      </c>
      <c r="H60" s="416"/>
    </row>
    <row r="61" spans="2:8" ht="20.100000000000001" customHeight="1" x14ac:dyDescent="0.2">
      <c r="B61" s="172" t="s">
        <v>102</v>
      </c>
      <c r="C61" s="164" t="s">
        <v>103</v>
      </c>
      <c r="D61" s="161">
        <f t="shared" si="6"/>
        <v>450</v>
      </c>
      <c r="E61" s="166">
        <v>4170</v>
      </c>
      <c r="F61" s="166">
        <v>4133</v>
      </c>
      <c r="G61" s="418">
        <f t="shared" si="1"/>
        <v>99.1127098321343</v>
      </c>
      <c r="H61" s="416"/>
    </row>
    <row r="62" spans="2:8" ht="20.100000000000001" customHeight="1" x14ac:dyDescent="0.2">
      <c r="B62" s="172" t="s">
        <v>104</v>
      </c>
      <c r="C62" s="164" t="s">
        <v>105</v>
      </c>
      <c r="D62" s="165">
        <f t="shared" si="6"/>
        <v>451</v>
      </c>
      <c r="E62" s="166">
        <v>6950</v>
      </c>
      <c r="F62" s="166">
        <v>6886</v>
      </c>
      <c r="G62" s="418">
        <f t="shared" si="1"/>
        <v>99.079136690647488</v>
      </c>
      <c r="H62" s="416"/>
    </row>
    <row r="63" spans="2:8" ht="22.5" x14ac:dyDescent="0.2">
      <c r="B63" s="172" t="s">
        <v>106</v>
      </c>
      <c r="C63" s="164" t="s">
        <v>107</v>
      </c>
      <c r="D63" s="165">
        <f t="shared" si="6"/>
        <v>452</v>
      </c>
      <c r="E63" s="166">
        <v>87260</v>
      </c>
      <c r="F63" s="166">
        <v>88178</v>
      </c>
      <c r="G63" s="418">
        <f t="shared" si="1"/>
        <v>101.05202842081135</v>
      </c>
      <c r="H63" s="416"/>
    </row>
    <row r="64" spans="2:8" ht="22.5" x14ac:dyDescent="0.2">
      <c r="B64" s="171"/>
      <c r="C64" s="160" t="s">
        <v>232</v>
      </c>
      <c r="D64" s="161">
        <f t="shared" si="6"/>
        <v>453</v>
      </c>
      <c r="E64" s="162">
        <v>2351067</v>
      </c>
      <c r="F64" s="163">
        <f>SUM(F65:F74)</f>
        <v>2448303</v>
      </c>
      <c r="G64" s="417">
        <f t="shared" si="1"/>
        <v>104.13582428744054</v>
      </c>
      <c r="H64" s="416"/>
    </row>
    <row r="65" spans="2:8" ht="20.100000000000001" customHeight="1" x14ac:dyDescent="0.2">
      <c r="B65" s="172" t="s">
        <v>108</v>
      </c>
      <c r="C65" s="164" t="s">
        <v>109</v>
      </c>
      <c r="D65" s="165">
        <f t="shared" si="6"/>
        <v>454</v>
      </c>
      <c r="E65" s="166">
        <v>611000</v>
      </c>
      <c r="F65" s="166">
        <v>488901</v>
      </c>
      <c r="G65" s="418">
        <f t="shared" si="1"/>
        <v>80.016530278232395</v>
      </c>
      <c r="H65" s="416"/>
    </row>
    <row r="66" spans="2:8" ht="20.100000000000001" customHeight="1" x14ac:dyDescent="0.2">
      <c r="B66" s="172" t="s">
        <v>110</v>
      </c>
      <c r="C66" s="164" t="s">
        <v>111</v>
      </c>
      <c r="D66" s="161">
        <f t="shared" ref="D66:D79" si="7">D65+1</f>
        <v>455</v>
      </c>
      <c r="E66" s="166">
        <v>145000</v>
      </c>
      <c r="F66" s="166">
        <v>185264</v>
      </c>
      <c r="G66" s="418">
        <f t="shared" si="1"/>
        <v>127.76827586206896</v>
      </c>
      <c r="H66" s="416"/>
    </row>
    <row r="67" spans="2:8" ht="20.100000000000001" customHeight="1" x14ac:dyDescent="0.2">
      <c r="B67" s="172" t="s">
        <v>112</v>
      </c>
      <c r="C67" s="164" t="s">
        <v>113</v>
      </c>
      <c r="D67" s="161">
        <f t="shared" si="7"/>
        <v>456</v>
      </c>
      <c r="E67" s="166">
        <v>244000</v>
      </c>
      <c r="F67" s="166">
        <v>214964</v>
      </c>
      <c r="G67" s="418">
        <f t="shared" si="1"/>
        <v>88.1</v>
      </c>
      <c r="H67" s="416"/>
    </row>
    <row r="68" spans="2:8" ht="20.100000000000001" customHeight="1" x14ac:dyDescent="0.2">
      <c r="B68" s="172" t="s">
        <v>114</v>
      </c>
      <c r="C68" s="164" t="s">
        <v>115</v>
      </c>
      <c r="D68" s="165">
        <f t="shared" si="7"/>
        <v>457</v>
      </c>
      <c r="E68" s="166">
        <v>12000</v>
      </c>
      <c r="F68" s="166">
        <v>24713</v>
      </c>
      <c r="G68" s="418">
        <f t="shared" si="1"/>
        <v>205.94166666666663</v>
      </c>
      <c r="H68" s="416"/>
    </row>
    <row r="69" spans="2:8" ht="20.100000000000001" customHeight="1" x14ac:dyDescent="0.2">
      <c r="B69" s="172" t="s">
        <v>116</v>
      </c>
      <c r="C69" s="164" t="s">
        <v>117</v>
      </c>
      <c r="D69" s="165">
        <f t="shared" si="7"/>
        <v>458</v>
      </c>
      <c r="E69" s="166">
        <v>217000</v>
      </c>
      <c r="F69" s="166">
        <v>185009</v>
      </c>
      <c r="G69" s="418">
        <f t="shared" si="1"/>
        <v>85.257603686635946</v>
      </c>
      <c r="H69" s="416"/>
    </row>
    <row r="70" spans="2:8" ht="20.100000000000001" customHeight="1" x14ac:dyDescent="0.2">
      <c r="B70" s="172" t="s">
        <v>118</v>
      </c>
      <c r="C70" s="164" t="s">
        <v>119</v>
      </c>
      <c r="D70" s="161">
        <f t="shared" si="7"/>
        <v>459</v>
      </c>
      <c r="E70" s="166">
        <v>211500</v>
      </c>
      <c r="F70" s="166">
        <v>213078</v>
      </c>
      <c r="G70" s="418">
        <f t="shared" si="1"/>
        <v>100.74609929078014</v>
      </c>
      <c r="H70" s="416"/>
    </row>
    <row r="71" spans="2:8" ht="20.100000000000001" customHeight="1" x14ac:dyDescent="0.2">
      <c r="B71" s="172" t="s">
        <v>120</v>
      </c>
      <c r="C71" s="164" t="s">
        <v>121</v>
      </c>
      <c r="D71" s="165">
        <f t="shared" si="7"/>
        <v>460</v>
      </c>
      <c r="E71" s="166">
        <v>185000</v>
      </c>
      <c r="F71" s="166">
        <v>455078</v>
      </c>
      <c r="G71" s="418">
        <f t="shared" si="1"/>
        <v>245.98810810810812</v>
      </c>
      <c r="H71" s="416"/>
    </row>
    <row r="72" spans="2:8" ht="20.100000000000001" customHeight="1" x14ac:dyDescent="0.2">
      <c r="B72" s="172" t="s">
        <v>122</v>
      </c>
      <c r="C72" s="164" t="s">
        <v>123</v>
      </c>
      <c r="D72" s="161">
        <f t="shared" si="7"/>
        <v>461</v>
      </c>
      <c r="E72" s="166">
        <v>1000</v>
      </c>
      <c r="F72" s="166">
        <v>11604</v>
      </c>
      <c r="G72" s="418">
        <f t="shared" si="1"/>
        <v>1160.3999999999999</v>
      </c>
      <c r="H72" s="416"/>
    </row>
    <row r="73" spans="2:8" ht="20.100000000000001" customHeight="1" x14ac:dyDescent="0.2">
      <c r="B73" s="172" t="s">
        <v>124</v>
      </c>
      <c r="C73" s="164" t="s">
        <v>29</v>
      </c>
      <c r="D73" s="161">
        <f>D72+1</f>
        <v>462</v>
      </c>
      <c r="E73" s="166"/>
      <c r="F73" s="166"/>
      <c r="G73" s="418" t="str">
        <f t="shared" si="1"/>
        <v>-</v>
      </c>
      <c r="H73" s="416"/>
    </row>
    <row r="74" spans="2:8" ht="20.100000000000001" customHeight="1" x14ac:dyDescent="0.2">
      <c r="B74" s="172" t="s">
        <v>125</v>
      </c>
      <c r="C74" s="164" t="s">
        <v>126</v>
      </c>
      <c r="D74" s="161">
        <f>D73+1</f>
        <v>463</v>
      </c>
      <c r="E74" s="166">
        <v>724567</v>
      </c>
      <c r="F74" s="166">
        <v>669692</v>
      </c>
      <c r="G74" s="418">
        <f t="shared" si="1"/>
        <v>92.426511281910436</v>
      </c>
      <c r="H74" s="416"/>
    </row>
    <row r="75" spans="2:8" ht="20.100000000000001" customHeight="1" x14ac:dyDescent="0.2">
      <c r="B75" s="171" t="s">
        <v>127</v>
      </c>
      <c r="C75" s="160" t="s">
        <v>128</v>
      </c>
      <c r="D75" s="161">
        <f t="shared" si="7"/>
        <v>464</v>
      </c>
      <c r="E75" s="166"/>
      <c r="F75" s="166"/>
      <c r="G75" s="418" t="str">
        <f t="shared" si="1"/>
        <v>-</v>
      </c>
      <c r="H75" s="416"/>
    </row>
    <row r="76" spans="2:8" ht="20.100000000000001" customHeight="1" x14ac:dyDescent="0.2">
      <c r="B76" s="171" t="s">
        <v>129</v>
      </c>
      <c r="C76" s="160" t="s">
        <v>130</v>
      </c>
      <c r="D76" s="161">
        <f>D75+1</f>
        <v>465</v>
      </c>
      <c r="E76" s="166"/>
      <c r="F76" s="166"/>
      <c r="G76" s="418" t="str">
        <f t="shared" si="1"/>
        <v>-</v>
      </c>
      <c r="H76" s="416"/>
    </row>
    <row r="77" spans="2:8" ht="20.100000000000001" customHeight="1" x14ac:dyDescent="0.2">
      <c r="B77" s="171" t="s">
        <v>131</v>
      </c>
      <c r="C77" s="160" t="s">
        <v>132</v>
      </c>
      <c r="D77" s="161">
        <f>D76+1</f>
        <v>466</v>
      </c>
      <c r="E77" s="166"/>
      <c r="F77" s="166"/>
      <c r="G77" s="418" t="str">
        <f t="shared" ref="G77:G97" si="8">IF(E77=0,"-",F77/E77*100)</f>
        <v>-</v>
      </c>
      <c r="H77" s="416"/>
    </row>
    <row r="78" spans="2:8" ht="20.100000000000001" customHeight="1" x14ac:dyDescent="0.2">
      <c r="B78" s="171" t="s">
        <v>133</v>
      </c>
      <c r="C78" s="160" t="s">
        <v>134</v>
      </c>
      <c r="D78" s="161">
        <f>D77+1</f>
        <v>467</v>
      </c>
      <c r="E78" s="166"/>
      <c r="F78" s="166"/>
      <c r="G78" s="418" t="str">
        <f t="shared" si="8"/>
        <v>-</v>
      </c>
      <c r="H78" s="416"/>
    </row>
    <row r="79" spans="2:8" ht="20.100000000000001" customHeight="1" x14ac:dyDescent="0.2">
      <c r="B79" s="171" t="s">
        <v>135</v>
      </c>
      <c r="C79" s="160" t="s">
        <v>136</v>
      </c>
      <c r="D79" s="161">
        <f t="shared" si="7"/>
        <v>468</v>
      </c>
      <c r="E79" s="166"/>
      <c r="F79" s="166"/>
      <c r="G79" s="418" t="str">
        <f t="shared" si="8"/>
        <v>-</v>
      </c>
      <c r="H79" s="416"/>
    </row>
    <row r="80" spans="2:8" ht="20.100000000000001" customHeight="1" x14ac:dyDescent="0.2">
      <c r="B80" s="171" t="s">
        <v>137</v>
      </c>
      <c r="C80" s="160" t="s">
        <v>138</v>
      </c>
      <c r="D80" s="161">
        <f>D79+1</f>
        <v>469</v>
      </c>
      <c r="E80" s="166"/>
      <c r="F80" s="166"/>
      <c r="G80" s="418" t="str">
        <f t="shared" si="8"/>
        <v>-</v>
      </c>
      <c r="H80" s="416"/>
    </row>
    <row r="81" spans="2:8" ht="22.5" x14ac:dyDescent="0.2">
      <c r="B81" s="171"/>
      <c r="C81" s="160" t="s">
        <v>233</v>
      </c>
      <c r="D81" s="202">
        <f>D80+1</f>
        <v>470</v>
      </c>
      <c r="E81" s="464">
        <v>1464623</v>
      </c>
      <c r="F81" s="464">
        <f>SUM(F82:F91)</f>
        <v>1355194</v>
      </c>
      <c r="G81" s="417">
        <f t="shared" si="8"/>
        <v>92.528520991408712</v>
      </c>
      <c r="H81" s="561">
        <f>IF(E81+F81='FN 2011-Realizacija 2011'!N22+'FN 2011-Realizacija 2011'!C22,,"Skupni investicijski odhodki v tem izkazu se ne ujemajo s tistimi v tabeli FN 2011-Realizacija 2011 - prosimo USKLADITE")</f>
        <v>0</v>
      </c>
    </row>
    <row r="82" spans="2:8" ht="20.100000000000001" customHeight="1" x14ac:dyDescent="0.2">
      <c r="B82" s="172" t="s">
        <v>139</v>
      </c>
      <c r="C82" s="164" t="s">
        <v>140</v>
      </c>
      <c r="D82" s="165">
        <f>D81+1</f>
        <v>471</v>
      </c>
      <c r="E82" s="166"/>
      <c r="F82" s="166">
        <v>13360</v>
      </c>
      <c r="G82" s="418" t="str">
        <f t="shared" si="8"/>
        <v>-</v>
      </c>
      <c r="H82" s="561"/>
    </row>
    <row r="83" spans="2:8" ht="20.100000000000001" customHeight="1" x14ac:dyDescent="0.2">
      <c r="B83" s="172" t="s">
        <v>141</v>
      </c>
      <c r="C83" s="164" t="s">
        <v>142</v>
      </c>
      <c r="D83" s="161">
        <f t="shared" ref="D83:D92" si="9">D82+1</f>
        <v>472</v>
      </c>
      <c r="E83" s="166"/>
      <c r="F83" s="166"/>
      <c r="G83" s="418" t="str">
        <f t="shared" si="8"/>
        <v>-</v>
      </c>
      <c r="H83" s="561"/>
    </row>
    <row r="84" spans="2:8" ht="20.100000000000001" customHeight="1" x14ac:dyDescent="0.2">
      <c r="B84" s="172" t="s">
        <v>143</v>
      </c>
      <c r="C84" s="164" t="s">
        <v>37</v>
      </c>
      <c r="D84" s="161">
        <f t="shared" si="9"/>
        <v>473</v>
      </c>
      <c r="E84" s="166">
        <v>1308623</v>
      </c>
      <c r="F84" s="166">
        <v>1080387</v>
      </c>
      <c r="G84" s="418">
        <f t="shared" si="8"/>
        <v>82.559071634840592</v>
      </c>
      <c r="H84" s="416"/>
    </row>
    <row r="85" spans="2:8" ht="20.100000000000001" customHeight="1" x14ac:dyDescent="0.2">
      <c r="B85" s="172" t="s">
        <v>144</v>
      </c>
      <c r="C85" s="164" t="s">
        <v>145</v>
      </c>
      <c r="D85" s="165">
        <f t="shared" si="9"/>
        <v>474</v>
      </c>
      <c r="E85" s="166">
        <v>120000</v>
      </c>
      <c r="F85" s="166">
        <v>183196</v>
      </c>
      <c r="G85" s="418">
        <f t="shared" si="8"/>
        <v>152.66333333333333</v>
      </c>
      <c r="H85" s="416"/>
    </row>
    <row r="86" spans="2:8" ht="20.100000000000001" customHeight="1" x14ac:dyDescent="0.2">
      <c r="B86" s="172" t="s">
        <v>146</v>
      </c>
      <c r="C86" s="164" t="s">
        <v>147</v>
      </c>
      <c r="D86" s="165">
        <f t="shared" si="9"/>
        <v>475</v>
      </c>
      <c r="E86" s="167"/>
      <c r="F86" s="166"/>
      <c r="G86" s="418" t="str">
        <f t="shared" si="8"/>
        <v>-</v>
      </c>
      <c r="H86" s="416"/>
    </row>
    <row r="87" spans="2:8" ht="20.100000000000001" customHeight="1" x14ac:dyDescent="0.2">
      <c r="B87" s="172" t="s">
        <v>148</v>
      </c>
      <c r="C87" s="164" t="s">
        <v>149</v>
      </c>
      <c r="D87" s="161">
        <f t="shared" si="9"/>
        <v>476</v>
      </c>
      <c r="E87" s="166">
        <v>36000</v>
      </c>
      <c r="F87" s="166">
        <v>46589</v>
      </c>
      <c r="G87" s="418">
        <f t="shared" si="8"/>
        <v>129.41388888888889</v>
      </c>
      <c r="H87" s="416"/>
    </row>
    <row r="88" spans="2:8" ht="20.100000000000001" customHeight="1" x14ac:dyDescent="0.2">
      <c r="B88" s="172" t="s">
        <v>150</v>
      </c>
      <c r="C88" s="164" t="s">
        <v>151</v>
      </c>
      <c r="D88" s="165">
        <f t="shared" si="9"/>
        <v>477</v>
      </c>
      <c r="E88" s="166"/>
      <c r="F88" s="166"/>
      <c r="G88" s="418" t="str">
        <f t="shared" si="8"/>
        <v>-</v>
      </c>
      <c r="H88" s="416"/>
    </row>
    <row r="89" spans="2:8" ht="20.100000000000001" customHeight="1" x14ac:dyDescent="0.2">
      <c r="B89" s="172" t="s">
        <v>152</v>
      </c>
      <c r="C89" s="164" t="s">
        <v>153</v>
      </c>
      <c r="D89" s="161">
        <f t="shared" si="9"/>
        <v>478</v>
      </c>
      <c r="E89" s="166"/>
      <c r="F89" s="166">
        <v>17849</v>
      </c>
      <c r="G89" s="418" t="str">
        <f t="shared" si="8"/>
        <v>-</v>
      </c>
      <c r="H89" s="416"/>
    </row>
    <row r="90" spans="2:8" ht="22.5" x14ac:dyDescent="0.2">
      <c r="B90" s="172" t="s">
        <v>154</v>
      </c>
      <c r="C90" s="164" t="s">
        <v>155</v>
      </c>
      <c r="D90" s="165">
        <f t="shared" si="9"/>
        <v>479</v>
      </c>
      <c r="E90" s="166"/>
      <c r="F90" s="166">
        <v>13813</v>
      </c>
      <c r="G90" s="418" t="str">
        <f t="shared" si="8"/>
        <v>-</v>
      </c>
      <c r="H90" s="416"/>
    </row>
    <row r="91" spans="2:8" ht="20.100000000000001" customHeight="1" x14ac:dyDescent="0.2">
      <c r="B91" s="172" t="s">
        <v>156</v>
      </c>
      <c r="C91" s="164" t="s">
        <v>157</v>
      </c>
      <c r="D91" s="161">
        <f t="shared" si="9"/>
        <v>480</v>
      </c>
      <c r="E91" s="166"/>
      <c r="F91" s="166"/>
      <c r="G91" s="418" t="str">
        <f t="shared" si="8"/>
        <v>-</v>
      </c>
      <c r="H91" s="416"/>
    </row>
    <row r="92" spans="2:8" ht="31.5" customHeight="1" x14ac:dyDescent="0.2">
      <c r="B92" s="171"/>
      <c r="C92" s="160" t="s">
        <v>234</v>
      </c>
      <c r="D92" s="202">
        <f t="shared" si="9"/>
        <v>481</v>
      </c>
      <c r="E92" s="162">
        <v>294245</v>
      </c>
      <c r="F92" s="162">
        <f>SUM(F93:F95)</f>
        <v>291521</v>
      </c>
      <c r="G92" s="417">
        <f t="shared" si="8"/>
        <v>99.074240853710336</v>
      </c>
      <c r="H92" s="560">
        <f>IF(E92+F92=('FN 2011-Realizacija 2011'!W18+'FN 2011-Realizacija 2011'!L18),,"Skupni tržni odhodki v tem izkazu se ne ujemajo s tržnimi odhodki za tekočo porabo v tabeli FN 2011-Realizacija 2011 - prosimo USKLADITE")</f>
        <v>0</v>
      </c>
    </row>
    <row r="93" spans="2:8" ht="33" customHeight="1" x14ac:dyDescent="0.2">
      <c r="B93" s="171" t="s">
        <v>158</v>
      </c>
      <c r="C93" s="175" t="s">
        <v>159</v>
      </c>
      <c r="D93" s="161">
        <f>D92+1</f>
        <v>482</v>
      </c>
      <c r="E93" s="166">
        <v>47000</v>
      </c>
      <c r="F93" s="166">
        <v>60408</v>
      </c>
      <c r="G93" s="418">
        <f t="shared" si="8"/>
        <v>128.52765957446809</v>
      </c>
      <c r="H93" s="560"/>
    </row>
    <row r="94" spans="2:8" ht="22.5" x14ac:dyDescent="0.2">
      <c r="B94" s="171" t="s">
        <v>160</v>
      </c>
      <c r="C94" s="175" t="s">
        <v>161</v>
      </c>
      <c r="D94" s="161">
        <f>D93+1</f>
        <v>483</v>
      </c>
      <c r="E94" s="166">
        <v>7245</v>
      </c>
      <c r="F94" s="166">
        <v>9952</v>
      </c>
      <c r="G94" s="418">
        <f t="shared" si="8"/>
        <v>137.36369910282951</v>
      </c>
      <c r="H94" s="416"/>
    </row>
    <row r="95" spans="2:8" ht="20.100000000000001" customHeight="1" x14ac:dyDescent="0.2">
      <c r="B95" s="171" t="s">
        <v>162</v>
      </c>
      <c r="C95" s="175" t="s">
        <v>163</v>
      </c>
      <c r="D95" s="161">
        <f>D94+1</f>
        <v>484</v>
      </c>
      <c r="E95" s="166">
        <v>240000</v>
      </c>
      <c r="F95" s="166">
        <v>221161</v>
      </c>
      <c r="G95" s="418">
        <f t="shared" si="8"/>
        <v>92.150416666666672</v>
      </c>
      <c r="H95" s="416"/>
    </row>
    <row r="96" spans="2:8" ht="24.75" customHeight="1" x14ac:dyDescent="0.2">
      <c r="B96" s="171"/>
      <c r="C96" s="160" t="s">
        <v>235</v>
      </c>
      <c r="D96" s="161">
        <f>D95+1</f>
        <v>485</v>
      </c>
      <c r="E96" s="487">
        <v>401580</v>
      </c>
      <c r="F96" s="487">
        <f>IF((F12-F48)&gt;0,(F12-F48),0)</f>
        <v>728058</v>
      </c>
      <c r="G96" s="488">
        <f t="shared" si="8"/>
        <v>181.2983714328403</v>
      </c>
      <c r="H96" s="416"/>
    </row>
    <row r="97" spans="2:8" ht="26.25" customHeight="1" thickBot="1" x14ac:dyDescent="0.25">
      <c r="B97" s="509"/>
      <c r="C97" s="510" t="s">
        <v>236</v>
      </c>
      <c r="D97" s="511">
        <f>D96+1</f>
        <v>486</v>
      </c>
      <c r="E97" s="512"/>
      <c r="F97" s="512">
        <f>IF((F48-F12)&gt;0,(F48-F12),0)</f>
        <v>0</v>
      </c>
      <c r="G97" s="513" t="str">
        <f t="shared" si="8"/>
        <v>-</v>
      </c>
      <c r="H97" s="416"/>
    </row>
    <row r="98" spans="2:8" x14ac:dyDescent="0.2">
      <c r="D98" s="369"/>
      <c r="E98" s="370"/>
      <c r="F98" s="370"/>
      <c r="G98" s="370"/>
    </row>
    <row r="99" spans="2:8" x14ac:dyDescent="0.2">
      <c r="D99" s="369"/>
      <c r="E99" s="370"/>
      <c r="F99" s="370"/>
      <c r="G99" s="370"/>
    </row>
    <row r="100" spans="2:8" x14ac:dyDescent="0.2">
      <c r="D100" s="369"/>
      <c r="E100" s="370"/>
      <c r="F100" s="370"/>
      <c r="G100" s="370"/>
    </row>
    <row r="101" spans="2:8" x14ac:dyDescent="0.2">
      <c r="D101" s="369"/>
      <c r="E101" s="370"/>
      <c r="F101" s="370"/>
      <c r="G101" s="370"/>
    </row>
    <row r="102" spans="2:8" s="62" customFormat="1" x14ac:dyDescent="0.2">
      <c r="B102" s="150" t="s">
        <v>30</v>
      </c>
      <c r="C102" s="13"/>
      <c r="D102" s="371"/>
      <c r="E102" s="371"/>
      <c r="F102" s="371"/>
      <c r="G102" s="331"/>
    </row>
    <row r="103" spans="2:8" s="62" customFormat="1" x14ac:dyDescent="0.2">
      <c r="B103" s="13"/>
      <c r="C103" s="13"/>
      <c r="D103" s="371"/>
      <c r="E103" s="371"/>
      <c r="F103" s="371"/>
      <c r="G103" s="331"/>
    </row>
    <row r="104" spans="2:8" s="62" customFormat="1" x14ac:dyDescent="0.2">
      <c r="B104" s="556" t="str">
        <f>Članica!A15</f>
        <v>Ljubljana, 29.02.2012</v>
      </c>
      <c r="C104" s="557"/>
      <c r="D104" s="371"/>
      <c r="E104" s="371"/>
      <c r="F104" s="371"/>
      <c r="G104" s="331"/>
    </row>
    <row r="105" spans="2:8" s="62" customFormat="1" x14ac:dyDescent="0.2">
      <c r="B105" s="13"/>
      <c r="C105" s="13"/>
      <c r="D105" s="13"/>
      <c r="E105" s="13"/>
      <c r="F105" s="13"/>
      <c r="G105" s="2"/>
    </row>
    <row r="106" spans="2:8" s="62" customFormat="1" x14ac:dyDescent="0.2">
      <c r="B106" s="562" t="s">
        <v>32</v>
      </c>
      <c r="C106" s="562"/>
      <c r="D106" s="42" t="s">
        <v>36</v>
      </c>
      <c r="E106" s="13"/>
      <c r="F106" s="13" t="s">
        <v>207</v>
      </c>
      <c r="G106" s="2"/>
    </row>
    <row r="107" spans="2:8" s="62" customFormat="1" x14ac:dyDescent="0.2">
      <c r="B107" s="13"/>
      <c r="C107" s="13"/>
      <c r="D107" s="13"/>
      <c r="E107" s="13"/>
      <c r="F107" s="13"/>
      <c r="G107" s="2"/>
    </row>
    <row r="108" spans="2:8" s="62" customFormat="1" x14ac:dyDescent="0.2">
      <c r="B108" s="556" t="str">
        <f>Članica!A21</f>
        <v>Ljudmila Obreza, dipl,ekon.</v>
      </c>
      <c r="C108" s="557"/>
      <c r="D108" s="13"/>
      <c r="E108" s="13"/>
      <c r="F108" s="226" t="str">
        <f>Članica!C21</f>
        <v>Prof.dr. Anton Meden, dekan</v>
      </c>
      <c r="G108" s="2"/>
    </row>
  </sheetData>
  <sheetProtection password="CDEB" sheet="1"/>
  <mergeCells count="11">
    <mergeCell ref="B108:C108"/>
    <mergeCell ref="C7:F7"/>
    <mergeCell ref="B104:C104"/>
    <mergeCell ref="B1:G1"/>
    <mergeCell ref="H92:H93"/>
    <mergeCell ref="H12:H13"/>
    <mergeCell ref="H48:H49"/>
    <mergeCell ref="B106:C106"/>
    <mergeCell ref="H42:H43"/>
    <mergeCell ref="H81:H83"/>
    <mergeCell ref="H31:H33"/>
  </mergeCells>
  <phoneticPr fontId="16" type="noConversion"/>
  <conditionalFormatting sqref="H12 H92 H48 H42 H31 H81">
    <cfRule type="cellIs" dxfId="18" priority="63" stopIfTrue="1" operator="lessThan">
      <formula>$F$12</formula>
    </cfRule>
    <cfRule type="cellIs" dxfId="17" priority="64" stopIfTrue="1" operator="greaterThan">
      <formula>$F$12</formula>
    </cfRule>
  </conditionalFormatting>
  <conditionalFormatting sqref="H12:H13 H92 H48 H42 H81 H31">
    <cfRule type="cellIs" priority="53" stopIfTrue="1" operator="notEqual">
      <formula>$F$12</formula>
    </cfRule>
  </conditionalFormatting>
  <conditionalFormatting sqref="H48 H92 H81">
    <cfRule type="cellIs" priority="48" stopIfTrue="1" operator="notEqual">
      <formula>$F$48</formula>
    </cfRule>
    <cfRule type="cellIs" priority="49" stopIfTrue="1" operator="notEqual">
      <formula>$F$48</formula>
    </cfRule>
  </conditionalFormatting>
  <conditionalFormatting sqref="E12:F97">
    <cfRule type="containsText" dxfId="16" priority="11" stopIfTrue="1" operator="containsText" text=",">
      <formula>NOT(ISERROR(SEARCH(",",E12)))</formula>
    </cfRule>
  </conditionalFormatting>
  <conditionalFormatting sqref="E96:F97">
    <cfRule type="containsText" dxfId="15" priority="1" operator="containsText" text=",">
      <formula>NOT(ISERROR(SEARCH(",",E96)))</formula>
    </cfRule>
    <cfRule type="containsText" dxfId="14" priority="7" stopIfTrue="1" operator="containsText" text=",">
      <formula>NOT(ISERROR(SEARCH(",",E96)))</formula>
    </cfRule>
  </conditionalFormatting>
  <dataValidations count="1">
    <dataValidation type="whole" allowBlank="1" showInputMessage="1" showErrorMessage="1" error="DECIMALKA NI DOVOLJENA !" sqref="E12:F97">
      <formula1>0</formula1>
      <formula2>100000000</formula2>
    </dataValidation>
  </dataValidations>
  <printOptions horizontalCentered="1"/>
  <pageMargins left="0.74803149606299213" right="0.74803149606299213" top="0.78740157480314965" bottom="0.78740157480314965" header="0" footer="0"/>
  <pageSetup paperSize="9" scale="56" fitToHeight="2" orientation="portrait" r:id="rId1"/>
  <headerFooter alignWithMargins="0"/>
  <rowBreaks count="1" manualBreakCount="1">
    <brk id="4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  <pageSetUpPr fitToPage="1"/>
  </sheetPr>
  <dimension ref="A1:AP172"/>
  <sheetViews>
    <sheetView zoomScale="70" zoomScaleNormal="70" zoomScaleSheetLayoutView="80" workbookViewId="0">
      <pane xSplit="2" ySplit="11" topLeftCell="L140" activePane="bottomRight" state="frozen"/>
      <selection pane="topRight" activeCell="C1" sqref="C1"/>
      <selection pane="bottomLeft" activeCell="A12" sqref="A12"/>
      <selection pane="bottomRight" activeCell="B88" sqref="B88"/>
    </sheetView>
  </sheetViews>
  <sheetFormatPr defaultColWidth="8.85546875" defaultRowHeight="12.75" x14ac:dyDescent="0.2"/>
  <cols>
    <col min="1" max="1" width="12.7109375" style="1" customWidth="1"/>
    <col min="2" max="2" width="75.7109375" style="2" customWidth="1"/>
    <col min="3" max="3" width="17.7109375" style="2" customWidth="1"/>
    <col min="4" max="12" width="15.7109375" style="2" customWidth="1"/>
    <col min="13" max="13" width="2.42578125" style="139" customWidth="1"/>
    <col min="14" max="14" width="17.7109375" style="2" customWidth="1"/>
    <col min="15" max="23" width="15.7109375" style="2" customWidth="1"/>
    <col min="24" max="25" width="16.42578125" style="10" customWidth="1"/>
    <col min="26" max="42" width="8.85546875" style="10" customWidth="1"/>
    <col min="43" max="16384" width="8.85546875" style="2"/>
  </cols>
  <sheetData>
    <row r="1" spans="1:42" ht="18" x14ac:dyDescent="0.25">
      <c r="A1" s="131" t="s">
        <v>205</v>
      </c>
      <c r="B1" s="131" t="s">
        <v>386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N1" s="10"/>
    </row>
    <row r="2" spans="1:42" ht="15" customHeight="1" x14ac:dyDescent="0.25">
      <c r="A2" s="77"/>
      <c r="B2" s="77"/>
      <c r="C2" s="77"/>
      <c r="N2" s="77"/>
    </row>
    <row r="3" spans="1:42" ht="15" customHeight="1" x14ac:dyDescent="0.25">
      <c r="A3" s="77"/>
      <c r="B3" s="77"/>
      <c r="C3" s="77"/>
      <c r="N3" s="77"/>
    </row>
    <row r="4" spans="1:42" ht="15" customHeight="1" x14ac:dyDescent="0.25">
      <c r="A4" s="78" t="s">
        <v>177</v>
      </c>
      <c r="B4" s="77"/>
      <c r="C4" s="77"/>
      <c r="N4" s="77"/>
    </row>
    <row r="5" spans="1:42" ht="15" customHeight="1" x14ac:dyDescent="0.2"/>
    <row r="6" spans="1:42" ht="15" customHeight="1" x14ac:dyDescent="0.25">
      <c r="A6" s="268" t="s">
        <v>35</v>
      </c>
      <c r="B6" s="267" t="str">
        <f>Članica!B8</f>
        <v>FAKULTETA ZA KEMIJO IN KEMIJSKO TEHNOLOGIJO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69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270"/>
      <c r="Y6" s="270"/>
    </row>
    <row r="7" spans="1:42" ht="15" customHeight="1" x14ac:dyDescent="0.25">
      <c r="A7" s="268"/>
      <c r="B7" s="267"/>
      <c r="C7" s="570" t="s">
        <v>389</v>
      </c>
      <c r="D7" s="571"/>
      <c r="E7" s="571"/>
      <c r="F7" s="571"/>
      <c r="G7" s="571"/>
      <c r="H7" s="571"/>
      <c r="I7" s="571"/>
      <c r="J7" s="571"/>
      <c r="K7" s="571"/>
      <c r="L7" s="572"/>
      <c r="M7" s="210"/>
      <c r="N7" s="570" t="s">
        <v>380</v>
      </c>
      <c r="O7" s="571"/>
      <c r="P7" s="571"/>
      <c r="Q7" s="571"/>
      <c r="R7" s="571"/>
      <c r="S7" s="571"/>
      <c r="T7" s="571"/>
      <c r="U7" s="571"/>
      <c r="V7" s="571"/>
      <c r="W7" s="572"/>
      <c r="X7" s="565" t="s">
        <v>392</v>
      </c>
      <c r="Y7" s="565" t="s">
        <v>393</v>
      </c>
    </row>
    <row r="8" spans="1:42" s="4" customFormat="1" ht="15" customHeight="1" x14ac:dyDescent="0.25">
      <c r="A8" s="41"/>
      <c r="B8" s="41"/>
      <c r="C8" s="573"/>
      <c r="D8" s="574"/>
      <c r="E8" s="574"/>
      <c r="F8" s="574"/>
      <c r="G8" s="574"/>
      <c r="H8" s="574"/>
      <c r="I8" s="574"/>
      <c r="J8" s="574"/>
      <c r="K8" s="574"/>
      <c r="L8" s="575"/>
      <c r="M8" s="211"/>
      <c r="N8" s="573"/>
      <c r="O8" s="574"/>
      <c r="P8" s="574"/>
      <c r="Q8" s="574"/>
      <c r="R8" s="574"/>
      <c r="S8" s="574"/>
      <c r="T8" s="574"/>
      <c r="U8" s="574"/>
      <c r="V8" s="574"/>
      <c r="W8" s="575"/>
      <c r="X8" s="566"/>
      <c r="Y8" s="566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70" customFormat="1" ht="15" customHeight="1" x14ac:dyDescent="0.25">
      <c r="A9" s="273"/>
      <c r="B9" s="204"/>
      <c r="C9" s="565" t="s">
        <v>391</v>
      </c>
      <c r="D9" s="576" t="s">
        <v>217</v>
      </c>
      <c r="E9" s="577"/>
      <c r="F9" s="577"/>
      <c r="G9" s="577"/>
      <c r="H9" s="577"/>
      <c r="I9" s="577"/>
      <c r="J9" s="577"/>
      <c r="K9" s="577"/>
      <c r="L9" s="578"/>
      <c r="M9" s="212"/>
      <c r="N9" s="565" t="s">
        <v>381</v>
      </c>
      <c r="O9" s="576" t="s">
        <v>217</v>
      </c>
      <c r="P9" s="577"/>
      <c r="Q9" s="577"/>
      <c r="R9" s="577"/>
      <c r="S9" s="577"/>
      <c r="T9" s="577"/>
      <c r="U9" s="577"/>
      <c r="V9" s="577"/>
      <c r="W9" s="578"/>
      <c r="X9" s="566"/>
      <c r="Y9" s="566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</row>
    <row r="10" spans="1:42" s="71" customFormat="1" ht="106.5" customHeight="1" x14ac:dyDescent="0.25">
      <c r="A10" s="274" t="s">
        <v>6</v>
      </c>
      <c r="B10" s="205" t="s">
        <v>174</v>
      </c>
      <c r="C10" s="569"/>
      <c r="D10" s="206" t="s">
        <v>23</v>
      </c>
      <c r="E10" s="206" t="s">
        <v>218</v>
      </c>
      <c r="F10" s="206" t="s">
        <v>248</v>
      </c>
      <c r="G10" s="206" t="s">
        <v>249</v>
      </c>
      <c r="H10" s="206" t="s">
        <v>360</v>
      </c>
      <c r="I10" s="206" t="s">
        <v>358</v>
      </c>
      <c r="J10" s="207" t="s">
        <v>361</v>
      </c>
      <c r="K10" s="207" t="s">
        <v>26</v>
      </c>
      <c r="L10" s="207" t="s">
        <v>250</v>
      </c>
      <c r="M10" s="213"/>
      <c r="N10" s="569"/>
      <c r="O10" s="206" t="s">
        <v>23</v>
      </c>
      <c r="P10" s="206" t="s">
        <v>218</v>
      </c>
      <c r="Q10" s="206" t="s">
        <v>248</v>
      </c>
      <c r="R10" s="206" t="s">
        <v>249</v>
      </c>
      <c r="S10" s="206" t="s">
        <v>360</v>
      </c>
      <c r="T10" s="206" t="s">
        <v>358</v>
      </c>
      <c r="U10" s="207" t="s">
        <v>361</v>
      </c>
      <c r="V10" s="207" t="s">
        <v>26</v>
      </c>
      <c r="W10" s="207" t="s">
        <v>250</v>
      </c>
      <c r="X10" s="567"/>
      <c r="Y10" s="567"/>
    </row>
    <row r="11" spans="1:42" s="72" customFormat="1" ht="12" customHeight="1" x14ac:dyDescent="0.25">
      <c r="A11" s="275">
        <v>1</v>
      </c>
      <c r="B11" s="209">
        <v>2</v>
      </c>
      <c r="C11" s="209">
        <v>3</v>
      </c>
      <c r="D11" s="208">
        <v>4</v>
      </c>
      <c r="E11" s="208">
        <v>5</v>
      </c>
      <c r="F11" s="208">
        <v>6</v>
      </c>
      <c r="G11" s="208">
        <v>7</v>
      </c>
      <c r="H11" s="208">
        <v>8</v>
      </c>
      <c r="I11" s="208">
        <v>9</v>
      </c>
      <c r="J11" s="209">
        <v>10</v>
      </c>
      <c r="K11" s="209">
        <v>11</v>
      </c>
      <c r="L11" s="209">
        <v>12</v>
      </c>
      <c r="M11" s="213"/>
      <c r="N11" s="208">
        <v>3</v>
      </c>
      <c r="O11" s="208">
        <v>4</v>
      </c>
      <c r="P11" s="208">
        <v>5</v>
      </c>
      <c r="Q11" s="208">
        <v>6</v>
      </c>
      <c r="R11" s="208">
        <v>7</v>
      </c>
      <c r="S11" s="208">
        <v>8</v>
      </c>
      <c r="T11" s="208">
        <v>9</v>
      </c>
      <c r="U11" s="209">
        <v>10</v>
      </c>
      <c r="V11" s="209">
        <v>11</v>
      </c>
      <c r="W11" s="209">
        <v>12</v>
      </c>
      <c r="X11" s="209" t="s">
        <v>329</v>
      </c>
      <c r="Y11" s="388" t="s">
        <v>330</v>
      </c>
    </row>
    <row r="12" spans="1:42" ht="25.5" customHeight="1" x14ac:dyDescent="0.25">
      <c r="A12" s="276"/>
      <c r="B12" s="198"/>
      <c r="C12" s="318" t="s">
        <v>264</v>
      </c>
      <c r="D12" s="199">
        <v>405</v>
      </c>
      <c r="E12" s="199">
        <v>405</v>
      </c>
      <c r="F12" s="199">
        <v>405</v>
      </c>
      <c r="G12" s="199">
        <v>408</v>
      </c>
      <c r="H12" s="199">
        <v>419</v>
      </c>
      <c r="I12" s="468">
        <v>421</v>
      </c>
      <c r="J12" s="199">
        <v>429</v>
      </c>
      <c r="K12" s="265" t="s">
        <v>251</v>
      </c>
      <c r="L12" s="199">
        <v>431</v>
      </c>
      <c r="M12" s="213"/>
      <c r="N12" s="318" t="s">
        <v>264</v>
      </c>
      <c r="O12" s="199">
        <v>405</v>
      </c>
      <c r="P12" s="199">
        <v>405</v>
      </c>
      <c r="Q12" s="199">
        <v>405</v>
      </c>
      <c r="R12" s="199">
        <v>408</v>
      </c>
      <c r="S12" s="199">
        <v>419</v>
      </c>
      <c r="T12" s="468">
        <v>421</v>
      </c>
      <c r="U12" s="199">
        <v>429</v>
      </c>
      <c r="V12" s="410" t="s">
        <v>352</v>
      </c>
      <c r="W12" s="199">
        <v>431</v>
      </c>
      <c r="X12" s="140"/>
      <c r="Y12" s="389"/>
    </row>
    <row r="13" spans="1:42" s="4" customFormat="1" ht="21.95" customHeight="1" x14ac:dyDescent="0.25">
      <c r="A13" s="523"/>
      <c r="B13" s="524" t="s">
        <v>252</v>
      </c>
      <c r="C13" s="525">
        <v>13318137</v>
      </c>
      <c r="D13" s="526">
        <v>8195196</v>
      </c>
      <c r="E13" s="526">
        <v>3535580</v>
      </c>
      <c r="F13" s="527">
        <v>0</v>
      </c>
      <c r="G13" s="527">
        <v>0</v>
      </c>
      <c r="H13" s="527">
        <v>0</v>
      </c>
      <c r="I13" s="525">
        <v>591200</v>
      </c>
      <c r="J13" s="528">
        <v>243000</v>
      </c>
      <c r="K13" s="529">
        <v>303161</v>
      </c>
      <c r="L13" s="529">
        <v>450000</v>
      </c>
      <c r="M13" s="530"/>
      <c r="N13" s="526">
        <f>SUM(O13:W13)</f>
        <v>13441953</v>
      </c>
      <c r="O13" s="526">
        <f>O17+O21</f>
        <v>8460574</v>
      </c>
      <c r="P13" s="526">
        <f t="shared" ref="P13:W13" si="0">P17+P21</f>
        <v>3839850</v>
      </c>
      <c r="Q13" s="527">
        <f t="shared" si="0"/>
        <v>0</v>
      </c>
      <c r="R13" s="527">
        <f t="shared" si="0"/>
        <v>0</v>
      </c>
      <c r="S13" s="527">
        <f t="shared" si="0"/>
        <v>36237</v>
      </c>
      <c r="T13" s="525">
        <f t="shared" si="0"/>
        <v>564175</v>
      </c>
      <c r="U13" s="528">
        <f t="shared" si="0"/>
        <v>9016</v>
      </c>
      <c r="V13" s="529">
        <f t="shared" si="0"/>
        <v>141808</v>
      </c>
      <c r="W13" s="529">
        <f t="shared" si="0"/>
        <v>390293</v>
      </c>
      <c r="X13" s="531">
        <f t="shared" ref="X13:Y15" si="1">IF(C13=0,"-",N13/C13*100)</f>
        <v>100.92967957905825</v>
      </c>
      <c r="Y13" s="531">
        <f t="shared" si="1"/>
        <v>103.2382141928027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s="4" customFormat="1" ht="21.95" customHeight="1" x14ac:dyDescent="0.25">
      <c r="A14" s="532"/>
      <c r="B14" s="533" t="s">
        <v>253</v>
      </c>
      <c r="C14" s="534">
        <v>12916557</v>
      </c>
      <c r="D14" s="526">
        <v>8483944</v>
      </c>
      <c r="E14" s="526">
        <v>3280238</v>
      </c>
      <c r="F14" s="526">
        <v>0</v>
      </c>
      <c r="G14" s="526">
        <v>0</v>
      </c>
      <c r="H14" s="526">
        <v>0</v>
      </c>
      <c r="I14" s="535">
        <v>695789</v>
      </c>
      <c r="J14" s="536">
        <v>45000</v>
      </c>
      <c r="K14" s="529">
        <v>105741</v>
      </c>
      <c r="L14" s="529">
        <v>305845</v>
      </c>
      <c r="M14" s="530"/>
      <c r="N14" s="526">
        <f>SUM(O14:W14)</f>
        <v>12713895</v>
      </c>
      <c r="O14" s="526">
        <f>O18+O22</f>
        <v>8498222</v>
      </c>
      <c r="P14" s="526">
        <f t="shared" ref="P14:W14" si="2">P18+P22</f>
        <v>3091955</v>
      </c>
      <c r="Q14" s="526">
        <f t="shared" si="2"/>
        <v>0</v>
      </c>
      <c r="R14" s="526">
        <f t="shared" si="2"/>
        <v>0</v>
      </c>
      <c r="S14" s="526">
        <f t="shared" si="2"/>
        <v>44143</v>
      </c>
      <c r="T14" s="535">
        <f t="shared" si="2"/>
        <v>649460</v>
      </c>
      <c r="U14" s="536">
        <f t="shared" si="2"/>
        <v>46491</v>
      </c>
      <c r="V14" s="529">
        <f t="shared" si="2"/>
        <v>92103</v>
      </c>
      <c r="W14" s="529">
        <f t="shared" si="2"/>
        <v>291521</v>
      </c>
      <c r="X14" s="531">
        <f t="shared" si="1"/>
        <v>98.430990549571376</v>
      </c>
      <c r="Y14" s="531">
        <f t="shared" si="1"/>
        <v>100.16829436875115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s="4" customFormat="1" ht="21.95" customHeight="1" thickBot="1" x14ac:dyDescent="0.3">
      <c r="A15" s="537"/>
      <c r="B15" s="538" t="s">
        <v>254</v>
      </c>
      <c r="C15" s="539">
        <v>401580</v>
      </c>
      <c r="D15" s="540">
        <v>-288748</v>
      </c>
      <c r="E15" s="540">
        <v>255342</v>
      </c>
      <c r="F15" s="540">
        <v>0</v>
      </c>
      <c r="G15" s="540">
        <v>0</v>
      </c>
      <c r="H15" s="540">
        <v>0</v>
      </c>
      <c r="I15" s="541">
        <v>-104589</v>
      </c>
      <c r="J15" s="542">
        <v>198000</v>
      </c>
      <c r="K15" s="540">
        <v>197420</v>
      </c>
      <c r="L15" s="540">
        <v>144155</v>
      </c>
      <c r="M15" s="530"/>
      <c r="N15" s="540">
        <f t="shared" ref="N15:W15" si="3">N13-N14</f>
        <v>728058</v>
      </c>
      <c r="O15" s="540">
        <f t="shared" si="3"/>
        <v>-37648</v>
      </c>
      <c r="P15" s="540">
        <f t="shared" si="3"/>
        <v>747895</v>
      </c>
      <c r="Q15" s="540">
        <f t="shared" si="3"/>
        <v>0</v>
      </c>
      <c r="R15" s="540">
        <f t="shared" si="3"/>
        <v>0</v>
      </c>
      <c r="S15" s="540">
        <f t="shared" si="3"/>
        <v>-7906</v>
      </c>
      <c r="T15" s="541">
        <f t="shared" si="3"/>
        <v>-85285</v>
      </c>
      <c r="U15" s="542">
        <f t="shared" si="3"/>
        <v>-37475</v>
      </c>
      <c r="V15" s="540">
        <f t="shared" si="3"/>
        <v>49705</v>
      </c>
      <c r="W15" s="540">
        <f t="shared" si="3"/>
        <v>98772</v>
      </c>
      <c r="X15" s="543">
        <f t="shared" si="1"/>
        <v>181.2983714328403</v>
      </c>
      <c r="Y15" s="543">
        <f t="shared" si="1"/>
        <v>13.038358707246456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26.25" customHeight="1" thickTop="1" x14ac:dyDescent="0.25">
      <c r="A16" s="276"/>
      <c r="B16" s="198"/>
      <c r="C16" s="318" t="s">
        <v>264</v>
      </c>
      <c r="D16" s="199">
        <v>405</v>
      </c>
      <c r="E16" s="199">
        <v>405</v>
      </c>
      <c r="F16" s="199">
        <v>405</v>
      </c>
      <c r="G16" s="199">
        <v>408</v>
      </c>
      <c r="H16" s="199">
        <v>419</v>
      </c>
      <c r="I16" s="199">
        <v>421</v>
      </c>
      <c r="J16" s="199">
        <v>429</v>
      </c>
      <c r="K16" s="265" t="s">
        <v>352</v>
      </c>
      <c r="L16" s="199">
        <v>431</v>
      </c>
      <c r="M16" s="213"/>
      <c r="N16" s="318"/>
      <c r="O16" s="199"/>
      <c r="P16" s="199"/>
      <c r="Q16" s="199"/>
      <c r="R16" s="199"/>
      <c r="S16" s="199"/>
      <c r="T16" s="199"/>
      <c r="U16" s="199"/>
      <c r="V16" s="410"/>
      <c r="W16" s="199"/>
      <c r="X16" s="421"/>
      <c r="Y16" s="421"/>
    </row>
    <row r="17" spans="1:42" s="117" customFormat="1" ht="15.75" x14ac:dyDescent="0.25">
      <c r="A17" s="278"/>
      <c r="B17" s="215" t="s">
        <v>245</v>
      </c>
      <c r="C17" s="220">
        <v>12252775</v>
      </c>
      <c r="D17" s="216">
        <v>8137875</v>
      </c>
      <c r="E17" s="217">
        <v>2710700</v>
      </c>
      <c r="F17" s="218">
        <v>0</v>
      </c>
      <c r="G17" s="218">
        <v>0</v>
      </c>
      <c r="H17" s="218">
        <v>0</v>
      </c>
      <c r="I17" s="219">
        <v>591200</v>
      </c>
      <c r="J17" s="219">
        <v>243000</v>
      </c>
      <c r="K17" s="219">
        <v>120000</v>
      </c>
      <c r="L17" s="220">
        <v>450000</v>
      </c>
      <c r="M17" s="213"/>
      <c r="N17" s="115">
        <f>SUM(O17:W17)</f>
        <v>12273218</v>
      </c>
      <c r="O17" s="114">
        <f t="shared" ref="O17:W17" si="4">O29+O88+O106+O113+O134+O141+O148</f>
        <v>8387747</v>
      </c>
      <c r="P17" s="114">
        <f t="shared" si="4"/>
        <v>2827275</v>
      </c>
      <c r="Q17" s="114">
        <f t="shared" si="4"/>
        <v>0</v>
      </c>
      <c r="R17" s="114">
        <f t="shared" si="4"/>
        <v>0</v>
      </c>
      <c r="S17" s="114">
        <f t="shared" si="4"/>
        <v>36237</v>
      </c>
      <c r="T17" s="114">
        <f t="shared" si="4"/>
        <v>564175</v>
      </c>
      <c r="U17" s="114">
        <f t="shared" si="4"/>
        <v>9016</v>
      </c>
      <c r="V17" s="114">
        <f t="shared" si="4"/>
        <v>58475</v>
      </c>
      <c r="W17" s="115">
        <f t="shared" si="4"/>
        <v>390293</v>
      </c>
      <c r="X17" s="419">
        <f t="shared" ref="X17:Y19" si="5">IF(C17=0,"-",N17/C17*100)</f>
        <v>100.16684383741644</v>
      </c>
      <c r="Y17" s="419">
        <f t="shared" si="5"/>
        <v>103.0704821590403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</row>
    <row r="18" spans="1:42" s="117" customFormat="1" ht="15.75" x14ac:dyDescent="0.25">
      <c r="A18" s="279"/>
      <c r="B18" s="221" t="s">
        <v>246</v>
      </c>
      <c r="C18" s="222">
        <v>11451934</v>
      </c>
      <c r="D18" s="216">
        <v>8088434</v>
      </c>
      <c r="E18" s="217">
        <v>2532514</v>
      </c>
      <c r="F18" s="218">
        <v>0</v>
      </c>
      <c r="G18" s="218">
        <v>0</v>
      </c>
      <c r="H18" s="218">
        <v>0</v>
      </c>
      <c r="I18" s="218">
        <v>399000</v>
      </c>
      <c r="J18" s="218">
        <v>45000</v>
      </c>
      <c r="K18" s="218">
        <v>92741</v>
      </c>
      <c r="L18" s="216">
        <v>294245</v>
      </c>
      <c r="M18" s="213"/>
      <c r="N18" s="133">
        <f>SUM(O18:W18)</f>
        <v>11358701</v>
      </c>
      <c r="O18" s="216">
        <f t="shared" ref="O18:W18" si="6">O30+O89+O107+O114+O135+O142+O149-O54</f>
        <v>8074887</v>
      </c>
      <c r="P18" s="217">
        <f t="shared" si="6"/>
        <v>2456533</v>
      </c>
      <c r="Q18" s="218">
        <f t="shared" si="6"/>
        <v>0</v>
      </c>
      <c r="R18" s="218">
        <f t="shared" si="6"/>
        <v>0</v>
      </c>
      <c r="S18" s="218">
        <f t="shared" si="6"/>
        <v>43598</v>
      </c>
      <c r="T18" s="218">
        <f t="shared" si="6"/>
        <v>441951</v>
      </c>
      <c r="U18" s="218">
        <f t="shared" si="6"/>
        <v>46491</v>
      </c>
      <c r="V18" s="218">
        <f t="shared" si="6"/>
        <v>3720</v>
      </c>
      <c r="W18" s="216">
        <f t="shared" si="6"/>
        <v>291521</v>
      </c>
      <c r="X18" s="419">
        <f t="shared" si="5"/>
        <v>99.18587550364856</v>
      </c>
      <c r="Y18" s="419">
        <f t="shared" si="5"/>
        <v>99.832513932857708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</row>
    <row r="19" spans="1:42" s="117" customFormat="1" ht="16.5" thickBot="1" x14ac:dyDescent="0.3">
      <c r="A19" s="280"/>
      <c r="B19" s="223" t="s">
        <v>247</v>
      </c>
      <c r="C19" s="317">
        <v>800841</v>
      </c>
      <c r="D19" s="225">
        <v>49441</v>
      </c>
      <c r="E19" s="225">
        <v>178186</v>
      </c>
      <c r="F19" s="225">
        <v>0</v>
      </c>
      <c r="G19" s="225">
        <v>0</v>
      </c>
      <c r="H19" s="225">
        <v>0</v>
      </c>
      <c r="I19" s="225">
        <v>192200</v>
      </c>
      <c r="J19" s="225">
        <v>198000</v>
      </c>
      <c r="K19" s="225">
        <v>27259</v>
      </c>
      <c r="L19" s="224">
        <v>155755</v>
      </c>
      <c r="M19" s="213"/>
      <c r="N19" s="317">
        <f t="shared" ref="N19:W19" si="7">N17-N18</f>
        <v>914517</v>
      </c>
      <c r="O19" s="119">
        <f t="shared" si="7"/>
        <v>312860</v>
      </c>
      <c r="P19" s="119">
        <f t="shared" si="7"/>
        <v>370742</v>
      </c>
      <c r="Q19" s="119">
        <f t="shared" si="7"/>
        <v>0</v>
      </c>
      <c r="R19" s="119">
        <f t="shared" si="7"/>
        <v>0</v>
      </c>
      <c r="S19" s="119">
        <f t="shared" si="7"/>
        <v>-7361</v>
      </c>
      <c r="T19" s="119">
        <f t="shared" si="7"/>
        <v>122224</v>
      </c>
      <c r="U19" s="119">
        <f t="shared" si="7"/>
        <v>-37475</v>
      </c>
      <c r="V19" s="119">
        <f t="shared" si="7"/>
        <v>54755</v>
      </c>
      <c r="W19" s="118">
        <f t="shared" si="7"/>
        <v>98772</v>
      </c>
      <c r="X19" s="420">
        <f t="shared" si="5"/>
        <v>114.19457794993014</v>
      </c>
      <c r="Y19" s="420">
        <f t="shared" si="5"/>
        <v>632.79464412127584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</row>
    <row r="20" spans="1:42" s="26" customFormat="1" ht="14.25" customHeight="1" thickTop="1" x14ac:dyDescent="0.25">
      <c r="A20" s="277"/>
      <c r="B20" s="142"/>
      <c r="C20" s="318" t="s">
        <v>264</v>
      </c>
      <c r="D20" s="199">
        <v>406</v>
      </c>
      <c r="E20" s="199">
        <v>406</v>
      </c>
      <c r="F20" s="199">
        <v>406</v>
      </c>
      <c r="G20" s="199">
        <v>409</v>
      </c>
      <c r="H20" s="199">
        <v>419</v>
      </c>
      <c r="I20" s="199">
        <v>421</v>
      </c>
      <c r="J20" s="199">
        <v>429</v>
      </c>
      <c r="K20" s="265" t="s">
        <v>352</v>
      </c>
      <c r="L20" s="199">
        <v>431</v>
      </c>
      <c r="M20" s="213"/>
      <c r="N20" s="318"/>
      <c r="O20" s="199"/>
      <c r="P20" s="199"/>
      <c r="Q20" s="199"/>
      <c r="R20" s="199"/>
      <c r="S20" s="199"/>
      <c r="T20" s="199"/>
      <c r="U20" s="199"/>
      <c r="V20" s="410"/>
      <c r="W20" s="199"/>
      <c r="X20" s="421"/>
      <c r="Y20" s="421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1:42" s="117" customFormat="1" ht="15.75" x14ac:dyDescent="0.25">
      <c r="A21" s="278"/>
      <c r="B21" s="215" t="s">
        <v>279</v>
      </c>
      <c r="C21" s="220">
        <v>1065362</v>
      </c>
      <c r="D21" s="216">
        <v>57321</v>
      </c>
      <c r="E21" s="217">
        <v>824880</v>
      </c>
      <c r="F21" s="218">
        <v>0</v>
      </c>
      <c r="G21" s="218">
        <v>0</v>
      </c>
      <c r="H21" s="218">
        <v>0</v>
      </c>
      <c r="I21" s="219">
        <v>0</v>
      </c>
      <c r="J21" s="219">
        <v>0</v>
      </c>
      <c r="K21" s="219">
        <v>183161</v>
      </c>
      <c r="L21" s="220">
        <v>0</v>
      </c>
      <c r="M21" s="213"/>
      <c r="N21" s="115">
        <f>SUM(O21:W21)</f>
        <v>1168735</v>
      </c>
      <c r="O21" s="114">
        <f>O156</f>
        <v>72827</v>
      </c>
      <c r="P21" s="114">
        <f t="shared" ref="P21:W21" si="8">P156</f>
        <v>1012575</v>
      </c>
      <c r="Q21" s="114">
        <f>Q156</f>
        <v>0</v>
      </c>
      <c r="R21" s="114">
        <f t="shared" si="8"/>
        <v>0</v>
      </c>
      <c r="S21" s="114">
        <f t="shared" si="8"/>
        <v>0</v>
      </c>
      <c r="T21" s="114">
        <f t="shared" si="8"/>
        <v>0</v>
      </c>
      <c r="U21" s="114">
        <f t="shared" si="8"/>
        <v>0</v>
      </c>
      <c r="V21" s="114">
        <f t="shared" si="8"/>
        <v>83333</v>
      </c>
      <c r="W21" s="115">
        <f t="shared" si="8"/>
        <v>0</v>
      </c>
      <c r="X21" s="419">
        <f t="shared" ref="X21:Y23" si="9">IF(C21=0,"-",N21/C21*100)</f>
        <v>109.70308683808885</v>
      </c>
      <c r="Y21" s="419">
        <f t="shared" si="9"/>
        <v>127.05116798381046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</row>
    <row r="22" spans="1:42" s="117" customFormat="1" ht="15.75" x14ac:dyDescent="0.25">
      <c r="A22" s="279"/>
      <c r="B22" s="221" t="s">
        <v>280</v>
      </c>
      <c r="C22" s="222">
        <v>1464623</v>
      </c>
      <c r="D22" s="216">
        <v>395510</v>
      </c>
      <c r="E22" s="217">
        <v>747724</v>
      </c>
      <c r="F22" s="218">
        <v>0</v>
      </c>
      <c r="G22" s="218">
        <v>0</v>
      </c>
      <c r="H22" s="218">
        <v>0</v>
      </c>
      <c r="I22" s="218">
        <v>296789</v>
      </c>
      <c r="J22" s="218">
        <v>0</v>
      </c>
      <c r="K22" s="218">
        <v>13000</v>
      </c>
      <c r="L22" s="216">
        <v>11600</v>
      </c>
      <c r="M22" s="213"/>
      <c r="N22" s="133">
        <f>SUM(O22:W22)</f>
        <v>1355194</v>
      </c>
      <c r="O22" s="216">
        <f t="shared" ref="O22:W22" si="10">O157+O54</f>
        <v>423335</v>
      </c>
      <c r="P22" s="217">
        <f t="shared" si="10"/>
        <v>635422</v>
      </c>
      <c r="Q22" s="218">
        <f t="shared" si="10"/>
        <v>0</v>
      </c>
      <c r="R22" s="218">
        <f t="shared" si="10"/>
        <v>0</v>
      </c>
      <c r="S22" s="218">
        <f t="shared" si="10"/>
        <v>545</v>
      </c>
      <c r="T22" s="218">
        <f t="shared" si="10"/>
        <v>207509</v>
      </c>
      <c r="U22" s="218">
        <f t="shared" si="10"/>
        <v>0</v>
      </c>
      <c r="V22" s="218">
        <f t="shared" si="10"/>
        <v>88383</v>
      </c>
      <c r="W22" s="216">
        <f t="shared" si="10"/>
        <v>0</v>
      </c>
      <c r="X22" s="419">
        <f t="shared" si="9"/>
        <v>92.528520991408712</v>
      </c>
      <c r="Y22" s="419">
        <f t="shared" si="9"/>
        <v>107.0352203484109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</row>
    <row r="23" spans="1:42" s="117" customFormat="1" ht="16.5" thickBot="1" x14ac:dyDescent="0.3">
      <c r="A23" s="280"/>
      <c r="B23" s="223" t="s">
        <v>281</v>
      </c>
      <c r="C23" s="317">
        <v>-399261</v>
      </c>
      <c r="D23" s="225">
        <v>-338189</v>
      </c>
      <c r="E23" s="225">
        <v>77156</v>
      </c>
      <c r="F23" s="225">
        <v>0</v>
      </c>
      <c r="G23" s="225">
        <v>0</v>
      </c>
      <c r="H23" s="225">
        <v>0</v>
      </c>
      <c r="I23" s="225">
        <v>-296789</v>
      </c>
      <c r="J23" s="225">
        <v>0</v>
      </c>
      <c r="K23" s="225">
        <v>170161</v>
      </c>
      <c r="L23" s="224">
        <v>-11600</v>
      </c>
      <c r="M23" s="213"/>
      <c r="N23" s="317">
        <f t="shared" ref="N23:W23" si="11">N21-N22</f>
        <v>-186459</v>
      </c>
      <c r="O23" s="119">
        <f t="shared" si="11"/>
        <v>-350508</v>
      </c>
      <c r="P23" s="119">
        <f t="shared" si="11"/>
        <v>377153</v>
      </c>
      <c r="Q23" s="119">
        <f t="shared" si="11"/>
        <v>0</v>
      </c>
      <c r="R23" s="119">
        <f t="shared" si="11"/>
        <v>0</v>
      </c>
      <c r="S23" s="119">
        <f t="shared" si="11"/>
        <v>-545</v>
      </c>
      <c r="T23" s="119">
        <f t="shared" si="11"/>
        <v>-207509</v>
      </c>
      <c r="U23" s="119">
        <f t="shared" si="11"/>
        <v>0</v>
      </c>
      <c r="V23" s="119">
        <f t="shared" si="11"/>
        <v>-5050</v>
      </c>
      <c r="W23" s="118">
        <f t="shared" si="11"/>
        <v>0</v>
      </c>
      <c r="X23" s="420">
        <f t="shared" si="9"/>
        <v>46.701030153208052</v>
      </c>
      <c r="Y23" s="420">
        <f t="shared" si="9"/>
        <v>103.64263769667257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</row>
    <row r="24" spans="1:42" s="26" customFormat="1" ht="16.5" thickTop="1" x14ac:dyDescent="0.25">
      <c r="A24" s="277"/>
      <c r="B24" s="142"/>
      <c r="C24" s="253"/>
      <c r="D24" s="199"/>
      <c r="E24" s="199"/>
      <c r="F24" s="199"/>
      <c r="G24" s="199"/>
      <c r="H24" s="199"/>
      <c r="I24" s="199"/>
      <c r="J24" s="199"/>
      <c r="K24" s="193"/>
      <c r="L24" s="199"/>
      <c r="M24" s="213"/>
      <c r="N24" s="253"/>
      <c r="O24" s="199"/>
      <c r="P24" s="199"/>
      <c r="Q24" s="199"/>
      <c r="R24" s="199"/>
      <c r="S24" s="199"/>
      <c r="T24" s="199"/>
      <c r="U24" s="199"/>
      <c r="V24" s="193"/>
      <c r="W24" s="199"/>
      <c r="X24" s="421"/>
      <c r="Y24" s="421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42" s="26" customFormat="1" ht="15.75" x14ac:dyDescent="0.25">
      <c r="A25" s="514"/>
      <c r="B25" s="515" t="s">
        <v>208</v>
      </c>
      <c r="C25" s="516">
        <v>8245405</v>
      </c>
      <c r="D25" s="515">
        <v>8136405</v>
      </c>
      <c r="E25" s="515">
        <v>0</v>
      </c>
      <c r="F25" s="515">
        <v>0</v>
      </c>
      <c r="G25" s="515">
        <v>0</v>
      </c>
      <c r="H25" s="515">
        <v>0</v>
      </c>
      <c r="I25" s="515">
        <v>54000</v>
      </c>
      <c r="J25" s="515">
        <v>0</v>
      </c>
      <c r="K25" s="515">
        <v>55000</v>
      </c>
      <c r="L25" s="515">
        <v>0</v>
      </c>
      <c r="M25" s="213"/>
      <c r="N25" s="516">
        <f>SUM(O25:W25)</f>
        <v>8495042</v>
      </c>
      <c r="O25" s="515">
        <f t="shared" ref="O25:W25" si="12">O32+O91</f>
        <v>8359224</v>
      </c>
      <c r="P25" s="515">
        <f t="shared" si="12"/>
        <v>0</v>
      </c>
      <c r="Q25" s="515">
        <f t="shared" si="12"/>
        <v>0</v>
      </c>
      <c r="R25" s="515">
        <f t="shared" si="12"/>
        <v>0</v>
      </c>
      <c r="S25" s="515">
        <f t="shared" si="12"/>
        <v>0</v>
      </c>
      <c r="T25" s="515">
        <f t="shared" si="12"/>
        <v>77463</v>
      </c>
      <c r="U25" s="515">
        <f t="shared" si="12"/>
        <v>0</v>
      </c>
      <c r="V25" s="515">
        <f t="shared" si="12"/>
        <v>58355</v>
      </c>
      <c r="W25" s="515">
        <f t="shared" si="12"/>
        <v>0</v>
      </c>
      <c r="X25" s="419">
        <f t="shared" ref="X25:Y27" si="13">IF(C25=0,"-",N25/C25*100)</f>
        <v>103.02758930580123</v>
      </c>
      <c r="Y25" s="419">
        <f t="shared" si="13"/>
        <v>102.73854361969445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26" customFormat="1" ht="15.75" x14ac:dyDescent="0.25">
      <c r="A26" s="517"/>
      <c r="B26" s="518" t="s">
        <v>209</v>
      </c>
      <c r="C26" s="516">
        <v>8510153</v>
      </c>
      <c r="D26" s="518">
        <v>8425153</v>
      </c>
      <c r="E26" s="518">
        <v>0</v>
      </c>
      <c r="F26" s="518">
        <v>0</v>
      </c>
      <c r="G26" s="518">
        <v>0</v>
      </c>
      <c r="H26" s="518">
        <v>0</v>
      </c>
      <c r="I26" s="518">
        <v>36000</v>
      </c>
      <c r="J26" s="518">
        <v>0</v>
      </c>
      <c r="K26" s="518">
        <v>49000</v>
      </c>
      <c r="L26" s="518">
        <v>0</v>
      </c>
      <c r="M26" s="213"/>
      <c r="N26" s="516">
        <f>SUM(O26:W26)</f>
        <v>8445659</v>
      </c>
      <c r="O26" s="518">
        <f t="shared" ref="O26:W26" si="14">O33+O92</f>
        <v>8380820</v>
      </c>
      <c r="P26" s="518">
        <f t="shared" si="14"/>
        <v>0</v>
      </c>
      <c r="Q26" s="518">
        <f t="shared" si="14"/>
        <v>0</v>
      </c>
      <c r="R26" s="518">
        <f t="shared" si="14"/>
        <v>0</v>
      </c>
      <c r="S26" s="518">
        <f t="shared" si="14"/>
        <v>0</v>
      </c>
      <c r="T26" s="518">
        <f t="shared" si="14"/>
        <v>61239</v>
      </c>
      <c r="U26" s="518">
        <f t="shared" si="14"/>
        <v>0</v>
      </c>
      <c r="V26" s="518">
        <f t="shared" si="14"/>
        <v>3600</v>
      </c>
      <c r="W26" s="518">
        <f t="shared" si="14"/>
        <v>0</v>
      </c>
      <c r="X26" s="419">
        <f t="shared" si="13"/>
        <v>99.242152285628705</v>
      </c>
      <c r="Y26" s="419">
        <f t="shared" si="13"/>
        <v>99.473801840749957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</row>
    <row r="27" spans="1:42" s="26" customFormat="1" ht="16.5" thickBot="1" x14ac:dyDescent="0.3">
      <c r="A27" s="519"/>
      <c r="B27" s="520" t="s">
        <v>210</v>
      </c>
      <c r="C27" s="521">
        <v>-264748</v>
      </c>
      <c r="D27" s="522">
        <v>-288748</v>
      </c>
      <c r="E27" s="522">
        <v>0</v>
      </c>
      <c r="F27" s="522">
        <v>0</v>
      </c>
      <c r="G27" s="522">
        <v>0</v>
      </c>
      <c r="H27" s="522">
        <v>0</v>
      </c>
      <c r="I27" s="522">
        <v>18000</v>
      </c>
      <c r="J27" s="522">
        <v>0</v>
      </c>
      <c r="K27" s="522">
        <v>6000</v>
      </c>
      <c r="L27" s="522">
        <v>0</v>
      </c>
      <c r="M27" s="213"/>
      <c r="N27" s="521">
        <f>N25-N26</f>
        <v>49383</v>
      </c>
      <c r="O27" s="522">
        <f t="shared" ref="O27:W27" si="15">O25-O26</f>
        <v>-21596</v>
      </c>
      <c r="P27" s="522">
        <f t="shared" si="15"/>
        <v>0</v>
      </c>
      <c r="Q27" s="522">
        <f>Q25-Q26</f>
        <v>0</v>
      </c>
      <c r="R27" s="522">
        <f t="shared" si="15"/>
        <v>0</v>
      </c>
      <c r="S27" s="522">
        <f>S25-S26</f>
        <v>0</v>
      </c>
      <c r="T27" s="522">
        <f t="shared" si="15"/>
        <v>16224</v>
      </c>
      <c r="U27" s="522">
        <f>U25-U26</f>
        <v>0</v>
      </c>
      <c r="V27" s="522">
        <f>V25-V26</f>
        <v>54755</v>
      </c>
      <c r="W27" s="522">
        <f t="shared" si="15"/>
        <v>0</v>
      </c>
      <c r="X27" s="420">
        <f t="shared" si="13"/>
        <v>-18.652832127154877</v>
      </c>
      <c r="Y27" s="420">
        <f t="shared" si="13"/>
        <v>7.4791860030199349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:42" s="26" customFormat="1" ht="30.75" customHeight="1" thickTop="1" thickBot="1" x14ac:dyDescent="0.25">
      <c r="A28" s="281"/>
      <c r="B28" s="233"/>
      <c r="C28" s="254"/>
      <c r="D28" s="234"/>
      <c r="E28" s="235"/>
      <c r="F28" s="235"/>
      <c r="G28" s="235"/>
      <c r="H28" s="235"/>
      <c r="I28" s="235"/>
      <c r="J28" s="235"/>
      <c r="K28" s="236"/>
      <c r="L28" s="235"/>
      <c r="M28" s="214"/>
      <c r="N28" s="266"/>
      <c r="O28" s="235"/>
      <c r="P28" s="235"/>
      <c r="Q28" s="235"/>
      <c r="R28" s="235"/>
      <c r="S28" s="235"/>
      <c r="T28" s="235"/>
      <c r="U28" s="235"/>
      <c r="V28" s="236"/>
      <c r="W28" s="235"/>
      <c r="X28" s="421"/>
      <c r="Y28" s="421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s="5" customFormat="1" ht="15" x14ac:dyDescent="0.25">
      <c r="A29" s="282" t="s">
        <v>18</v>
      </c>
      <c r="B29" s="143" t="s">
        <v>181</v>
      </c>
      <c r="C29" s="201">
        <v>8782605</v>
      </c>
      <c r="D29" s="92">
        <v>8136405</v>
      </c>
      <c r="E29" s="92">
        <v>0</v>
      </c>
      <c r="F29" s="93">
        <v>0</v>
      </c>
      <c r="G29" s="93">
        <v>0</v>
      </c>
      <c r="H29" s="93">
        <v>0</v>
      </c>
      <c r="I29" s="93">
        <v>591200</v>
      </c>
      <c r="J29" s="93">
        <v>0</v>
      </c>
      <c r="K29" s="93">
        <v>55000</v>
      </c>
      <c r="L29" s="84">
        <v>0</v>
      </c>
      <c r="M29" s="214"/>
      <c r="N29" s="201">
        <f>SUM(O29:W29)</f>
        <v>8947357</v>
      </c>
      <c r="O29" s="92">
        <f t="shared" ref="O29:W29" si="16">O32+O67+O81+O74</f>
        <v>8374614</v>
      </c>
      <c r="P29" s="92">
        <f t="shared" si="16"/>
        <v>0</v>
      </c>
      <c r="Q29" s="93">
        <f t="shared" si="16"/>
        <v>0</v>
      </c>
      <c r="R29" s="93">
        <f t="shared" si="16"/>
        <v>0</v>
      </c>
      <c r="S29" s="93">
        <f t="shared" si="16"/>
        <v>0</v>
      </c>
      <c r="T29" s="93">
        <f t="shared" si="16"/>
        <v>514388</v>
      </c>
      <c r="U29" s="93">
        <f t="shared" si="16"/>
        <v>0</v>
      </c>
      <c r="V29" s="93">
        <f t="shared" si="16"/>
        <v>58355</v>
      </c>
      <c r="W29" s="93">
        <f t="shared" si="16"/>
        <v>0</v>
      </c>
      <c r="X29" s="419">
        <f t="shared" ref="X29:X92" si="17">IF(C29=0,"-",N29/C29*100)</f>
        <v>101.8758898982705</v>
      </c>
      <c r="Y29" s="419">
        <f t="shared" ref="Y29:Y92" si="18">IF(D29=0,"-",O29/D29*100)</f>
        <v>102.92769349608335</v>
      </c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s="5" customFormat="1" ht="15" x14ac:dyDescent="0.25">
      <c r="A30" s="283"/>
      <c r="B30" s="28" t="s">
        <v>180</v>
      </c>
      <c r="C30" s="134">
        <v>8873153</v>
      </c>
      <c r="D30" s="84">
        <v>8425153</v>
      </c>
      <c r="E30" s="92">
        <v>0</v>
      </c>
      <c r="F30" s="93">
        <v>0</v>
      </c>
      <c r="G30" s="93">
        <v>0</v>
      </c>
      <c r="H30" s="93">
        <v>0</v>
      </c>
      <c r="I30" s="93">
        <v>399000</v>
      </c>
      <c r="J30" s="93">
        <v>0</v>
      </c>
      <c r="K30" s="93">
        <v>49000</v>
      </c>
      <c r="L30" s="84">
        <v>0</v>
      </c>
      <c r="M30" s="214"/>
      <c r="N30" s="134">
        <f>SUM(O30:W30)</f>
        <v>8801247</v>
      </c>
      <c r="O30" s="84">
        <f t="shared" ref="O30:W30" si="19">O33+O68+O82+O75</f>
        <v>8386365</v>
      </c>
      <c r="P30" s="92">
        <f t="shared" si="19"/>
        <v>0</v>
      </c>
      <c r="Q30" s="93">
        <f t="shared" si="19"/>
        <v>0</v>
      </c>
      <c r="R30" s="93">
        <f t="shared" si="19"/>
        <v>0</v>
      </c>
      <c r="S30" s="93">
        <f t="shared" si="19"/>
        <v>0</v>
      </c>
      <c r="T30" s="93">
        <f t="shared" si="19"/>
        <v>411282</v>
      </c>
      <c r="U30" s="93">
        <f t="shared" si="19"/>
        <v>0</v>
      </c>
      <c r="V30" s="93">
        <f t="shared" si="19"/>
        <v>3600</v>
      </c>
      <c r="W30" s="93">
        <f t="shared" si="19"/>
        <v>0</v>
      </c>
      <c r="X30" s="419">
        <f t="shared" si="17"/>
        <v>99.18962289954878</v>
      </c>
      <c r="Y30" s="419">
        <f t="shared" si="18"/>
        <v>99.539616669275915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s="5" customFormat="1" ht="15.75" thickBot="1" x14ac:dyDescent="0.3">
      <c r="A31" s="284"/>
      <c r="B31" s="90" t="s">
        <v>182</v>
      </c>
      <c r="C31" s="107">
        <v>-90548</v>
      </c>
      <c r="D31" s="107">
        <v>-288748</v>
      </c>
      <c r="E31" s="107">
        <v>0</v>
      </c>
      <c r="F31" s="107">
        <v>0</v>
      </c>
      <c r="G31" s="107">
        <v>0</v>
      </c>
      <c r="H31" s="107">
        <v>0</v>
      </c>
      <c r="I31" s="107">
        <v>192200</v>
      </c>
      <c r="J31" s="107">
        <v>0</v>
      </c>
      <c r="K31" s="107">
        <v>6000</v>
      </c>
      <c r="L31" s="107">
        <v>0</v>
      </c>
      <c r="M31" s="214"/>
      <c r="N31" s="107">
        <f>N29-N30</f>
        <v>146110</v>
      </c>
      <c r="O31" s="107">
        <f>O29-O30</f>
        <v>-11751</v>
      </c>
      <c r="P31" s="107">
        <f>P29-P30</f>
        <v>0</v>
      </c>
      <c r="Q31" s="107">
        <f>Q29-Q30</f>
        <v>0</v>
      </c>
      <c r="R31" s="107">
        <f t="shared" ref="R31:W31" si="20">R29-R30</f>
        <v>0</v>
      </c>
      <c r="S31" s="107">
        <f>S29-S30</f>
        <v>0</v>
      </c>
      <c r="T31" s="107">
        <f t="shared" si="20"/>
        <v>103106</v>
      </c>
      <c r="U31" s="107">
        <f>U29-U30</f>
        <v>0</v>
      </c>
      <c r="V31" s="107">
        <f>V29-V30</f>
        <v>54755</v>
      </c>
      <c r="W31" s="107">
        <f t="shared" si="20"/>
        <v>0</v>
      </c>
      <c r="X31" s="419">
        <f t="shared" si="17"/>
        <v>-161.36192958430888</v>
      </c>
      <c r="Y31" s="419">
        <f t="shared" si="18"/>
        <v>4.0696385775832216</v>
      </c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s="5" customFormat="1" ht="15" x14ac:dyDescent="0.25">
      <c r="A32" s="285" t="s">
        <v>164</v>
      </c>
      <c r="B32" s="86" t="s">
        <v>184</v>
      </c>
      <c r="C32" s="73">
        <v>8245405</v>
      </c>
      <c r="D32" s="89">
        <v>8136405</v>
      </c>
      <c r="E32" s="89"/>
      <c r="F32" s="89"/>
      <c r="G32" s="89"/>
      <c r="H32" s="89"/>
      <c r="I32" s="89">
        <v>54000</v>
      </c>
      <c r="J32" s="89"/>
      <c r="K32" s="89">
        <v>55000</v>
      </c>
      <c r="L32" s="89"/>
      <c r="M32" s="214"/>
      <c r="N32" s="135">
        <f>SUM(O32:W32)</f>
        <v>8495042</v>
      </c>
      <c r="O32" s="89">
        <v>8359224</v>
      </c>
      <c r="P32" s="89"/>
      <c r="Q32" s="89"/>
      <c r="R32" s="89"/>
      <c r="S32" s="89"/>
      <c r="T32" s="89">
        <v>77463</v>
      </c>
      <c r="U32" s="89"/>
      <c r="V32" s="89">
        <f>3600+54755+1-1</f>
        <v>58355</v>
      </c>
      <c r="W32" s="89"/>
      <c r="X32" s="419">
        <f t="shared" si="17"/>
        <v>103.02758930580123</v>
      </c>
      <c r="Y32" s="419">
        <f t="shared" si="18"/>
        <v>102.73854361969445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s="5" customFormat="1" ht="15" x14ac:dyDescent="0.25">
      <c r="A33" s="285"/>
      <c r="B33" s="87" t="s">
        <v>183</v>
      </c>
      <c r="C33" s="85">
        <v>8510153</v>
      </c>
      <c r="D33" s="85">
        <v>8425153</v>
      </c>
      <c r="E33" s="85">
        <v>0</v>
      </c>
      <c r="F33" s="85">
        <v>0</v>
      </c>
      <c r="G33" s="85">
        <v>0</v>
      </c>
      <c r="H33" s="85">
        <v>0</v>
      </c>
      <c r="I33" s="85">
        <v>36000</v>
      </c>
      <c r="J33" s="85">
        <v>0</v>
      </c>
      <c r="K33" s="85">
        <v>49000</v>
      </c>
      <c r="L33" s="85">
        <v>0</v>
      </c>
      <c r="M33" s="214"/>
      <c r="N33" s="85">
        <f>SUM(O33:W33)</f>
        <v>8445659</v>
      </c>
      <c r="O33" s="85">
        <f>O35+O44+O46+O53+O54</f>
        <v>8380820</v>
      </c>
      <c r="P33" s="85">
        <f t="shared" ref="P33:W33" si="21">P35+P44+P46+P53+P54</f>
        <v>0</v>
      </c>
      <c r="Q33" s="85">
        <f t="shared" si="21"/>
        <v>0</v>
      </c>
      <c r="R33" s="85">
        <f t="shared" si="21"/>
        <v>0</v>
      </c>
      <c r="S33" s="85">
        <f t="shared" si="21"/>
        <v>0</v>
      </c>
      <c r="T33" s="85">
        <f t="shared" si="21"/>
        <v>61239</v>
      </c>
      <c r="U33" s="85">
        <f t="shared" si="21"/>
        <v>0</v>
      </c>
      <c r="V33" s="85">
        <f t="shared" si="21"/>
        <v>3600</v>
      </c>
      <c r="W33" s="85">
        <f t="shared" si="21"/>
        <v>0</v>
      </c>
      <c r="X33" s="419">
        <f t="shared" si="17"/>
        <v>99.242152285628705</v>
      </c>
      <c r="Y33" s="419">
        <f t="shared" si="18"/>
        <v>99.473801840749957</v>
      </c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s="5" customFormat="1" ht="15.75" thickBot="1" x14ac:dyDescent="0.3">
      <c r="A34" s="286"/>
      <c r="B34" s="91" t="s">
        <v>185</v>
      </c>
      <c r="C34" s="108">
        <v>-264748</v>
      </c>
      <c r="D34" s="108">
        <v>-288748</v>
      </c>
      <c r="E34" s="108">
        <v>0</v>
      </c>
      <c r="F34" s="108">
        <v>0</v>
      </c>
      <c r="G34" s="108">
        <v>0</v>
      </c>
      <c r="H34" s="108">
        <v>0</v>
      </c>
      <c r="I34" s="108">
        <v>18000</v>
      </c>
      <c r="J34" s="108">
        <v>0</v>
      </c>
      <c r="K34" s="108">
        <v>6000</v>
      </c>
      <c r="L34" s="108">
        <v>0</v>
      </c>
      <c r="M34" s="214"/>
      <c r="N34" s="108">
        <f>N32-N33</f>
        <v>49383</v>
      </c>
      <c r="O34" s="108">
        <f>O32-O33</f>
        <v>-21596</v>
      </c>
      <c r="P34" s="108">
        <f t="shared" ref="P34:W34" si="22">P32-P33</f>
        <v>0</v>
      </c>
      <c r="Q34" s="108">
        <f>Q32-Q33</f>
        <v>0</v>
      </c>
      <c r="R34" s="108">
        <f t="shared" si="22"/>
        <v>0</v>
      </c>
      <c r="S34" s="108">
        <f>S32-S33</f>
        <v>0</v>
      </c>
      <c r="T34" s="108">
        <f t="shared" si="22"/>
        <v>16224</v>
      </c>
      <c r="U34" s="108">
        <f>U32-U33</f>
        <v>0</v>
      </c>
      <c r="V34" s="108">
        <f>V32-V33</f>
        <v>54755</v>
      </c>
      <c r="W34" s="108">
        <f t="shared" si="22"/>
        <v>0</v>
      </c>
      <c r="X34" s="419">
        <f t="shared" si="17"/>
        <v>-18.652832127154877</v>
      </c>
      <c r="Y34" s="419">
        <f t="shared" si="18"/>
        <v>7.4791860030199349</v>
      </c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s="68" customFormat="1" ht="15.75" customHeight="1" x14ac:dyDescent="0.25">
      <c r="A35" s="287">
        <v>1</v>
      </c>
      <c r="B35" s="132" t="s">
        <v>15</v>
      </c>
      <c r="C35" s="88">
        <v>5531275</v>
      </c>
      <c r="D35" s="88">
        <v>5531275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214"/>
      <c r="N35" s="88">
        <f>SUM(O35:W35)</f>
        <v>5428347</v>
      </c>
      <c r="O35" s="88">
        <f t="shared" ref="O35:W35" si="23">O36+O43</f>
        <v>5427895</v>
      </c>
      <c r="P35" s="88">
        <f t="shared" si="23"/>
        <v>0</v>
      </c>
      <c r="Q35" s="88">
        <f t="shared" si="23"/>
        <v>0</v>
      </c>
      <c r="R35" s="88">
        <f t="shared" si="23"/>
        <v>0</v>
      </c>
      <c r="S35" s="88">
        <f t="shared" si="23"/>
        <v>0</v>
      </c>
      <c r="T35" s="88">
        <f t="shared" si="23"/>
        <v>452</v>
      </c>
      <c r="U35" s="88">
        <f t="shared" si="23"/>
        <v>0</v>
      </c>
      <c r="V35" s="88">
        <f t="shared" si="23"/>
        <v>0</v>
      </c>
      <c r="W35" s="88">
        <f t="shared" si="23"/>
        <v>0</v>
      </c>
      <c r="X35" s="419">
        <f t="shared" si="17"/>
        <v>98.139163212821629</v>
      </c>
      <c r="Y35" s="419">
        <f t="shared" si="18"/>
        <v>98.130991498343505</v>
      </c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</row>
    <row r="36" spans="1:42" s="26" customFormat="1" ht="15.75" customHeight="1" x14ac:dyDescent="0.2">
      <c r="A36" s="288" t="s">
        <v>282</v>
      </c>
      <c r="B36" s="153" t="s">
        <v>10</v>
      </c>
      <c r="C36" s="63">
        <v>5458215</v>
      </c>
      <c r="D36" s="63">
        <v>5458215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214"/>
      <c r="N36" s="63">
        <f t="shared" ref="N36:N87" si="24">SUM(O36:W36)</f>
        <v>5355732</v>
      </c>
      <c r="O36" s="63">
        <f t="shared" ref="O36:W36" si="25">O37+O38+O39+O40+O41+O42</f>
        <v>5355280</v>
      </c>
      <c r="P36" s="63">
        <f t="shared" si="25"/>
        <v>0</v>
      </c>
      <c r="Q36" s="63">
        <f t="shared" si="25"/>
        <v>0</v>
      </c>
      <c r="R36" s="63">
        <f t="shared" si="25"/>
        <v>0</v>
      </c>
      <c r="S36" s="63">
        <f t="shared" si="25"/>
        <v>0</v>
      </c>
      <c r="T36" s="63">
        <f t="shared" si="25"/>
        <v>452</v>
      </c>
      <c r="U36" s="63">
        <f t="shared" si="25"/>
        <v>0</v>
      </c>
      <c r="V36" s="63">
        <f t="shared" si="25"/>
        <v>0</v>
      </c>
      <c r="W36" s="63">
        <f t="shared" si="25"/>
        <v>0</v>
      </c>
      <c r="X36" s="419">
        <f t="shared" si="17"/>
        <v>98.122408149917135</v>
      </c>
      <c r="Y36" s="419">
        <f t="shared" si="18"/>
        <v>98.11412705435751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s="26" customFormat="1" ht="15.75" customHeight="1" x14ac:dyDescent="0.2">
      <c r="A37" s="289" t="s">
        <v>283</v>
      </c>
      <c r="B37" s="154" t="s">
        <v>275</v>
      </c>
      <c r="C37" s="129">
        <v>4702687</v>
      </c>
      <c r="D37" s="79">
        <v>4702687</v>
      </c>
      <c r="E37" s="79"/>
      <c r="F37" s="79"/>
      <c r="G37" s="79"/>
      <c r="H37" s="79"/>
      <c r="I37" s="79"/>
      <c r="J37" s="79"/>
      <c r="K37" s="79"/>
      <c r="L37" s="80"/>
      <c r="M37" s="214"/>
      <c r="N37" s="129">
        <f t="shared" si="24"/>
        <v>5317780</v>
      </c>
      <c r="O37" s="79">
        <v>5317328</v>
      </c>
      <c r="P37" s="79"/>
      <c r="Q37" s="79"/>
      <c r="R37" s="79"/>
      <c r="S37" s="79"/>
      <c r="T37" s="79">
        <v>452</v>
      </c>
      <c r="U37" s="79"/>
      <c r="V37" s="79"/>
      <c r="W37" s="79"/>
      <c r="X37" s="419">
        <f t="shared" si="17"/>
        <v>113.07960746696517</v>
      </c>
      <c r="Y37" s="419">
        <f t="shared" si="18"/>
        <v>113.06999594061864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s="26" customFormat="1" ht="15.75" customHeight="1" x14ac:dyDescent="0.2">
      <c r="A38" s="289" t="s">
        <v>284</v>
      </c>
      <c r="B38" s="154" t="s">
        <v>276</v>
      </c>
      <c r="C38" s="129">
        <v>17040</v>
      </c>
      <c r="D38" s="79">
        <v>17040</v>
      </c>
      <c r="E38" s="79"/>
      <c r="F38" s="79"/>
      <c r="G38" s="79"/>
      <c r="H38" s="79"/>
      <c r="I38" s="79"/>
      <c r="J38" s="79"/>
      <c r="K38" s="79"/>
      <c r="L38" s="80"/>
      <c r="M38" s="214"/>
      <c r="N38" s="129">
        <f t="shared" si="24"/>
        <v>0</v>
      </c>
      <c r="O38" s="79"/>
      <c r="P38" s="79"/>
      <c r="Q38" s="79"/>
      <c r="R38" s="79"/>
      <c r="S38" s="79"/>
      <c r="T38" s="79"/>
      <c r="U38" s="79"/>
      <c r="V38" s="79"/>
      <c r="W38" s="80"/>
      <c r="X38" s="419">
        <f t="shared" si="17"/>
        <v>0</v>
      </c>
      <c r="Y38" s="419">
        <f t="shared" si="18"/>
        <v>0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2" s="26" customFormat="1" ht="15.75" customHeight="1" x14ac:dyDescent="0.2">
      <c r="A39" s="289" t="s">
        <v>285</v>
      </c>
      <c r="B39" s="154" t="s">
        <v>277</v>
      </c>
      <c r="C39" s="129">
        <v>23928</v>
      </c>
      <c r="D39" s="79">
        <v>23928</v>
      </c>
      <c r="E39" s="79"/>
      <c r="F39" s="79"/>
      <c r="G39" s="79"/>
      <c r="H39" s="79"/>
      <c r="I39" s="79"/>
      <c r="J39" s="79"/>
      <c r="K39" s="79"/>
      <c r="L39" s="80"/>
      <c r="M39" s="214"/>
      <c r="N39" s="129">
        <f t="shared" si="24"/>
        <v>0</v>
      </c>
      <c r="O39" s="79"/>
      <c r="P39" s="79"/>
      <c r="Q39" s="79"/>
      <c r="R39" s="79"/>
      <c r="S39" s="79"/>
      <c r="T39" s="79"/>
      <c r="U39" s="79"/>
      <c r="V39" s="79"/>
      <c r="W39" s="80"/>
      <c r="X39" s="419">
        <f t="shared" si="17"/>
        <v>0</v>
      </c>
      <c r="Y39" s="419">
        <f t="shared" si="18"/>
        <v>0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s="26" customFormat="1" ht="15.75" customHeight="1" x14ac:dyDescent="0.2">
      <c r="A40" s="289" t="s">
        <v>286</v>
      </c>
      <c r="B40" s="154" t="s">
        <v>91</v>
      </c>
      <c r="C40" s="129">
        <v>714560</v>
      </c>
      <c r="D40" s="79">
        <v>714560</v>
      </c>
      <c r="E40" s="79"/>
      <c r="F40" s="79"/>
      <c r="G40" s="79"/>
      <c r="H40" s="79"/>
      <c r="I40" s="79"/>
      <c r="J40" s="79"/>
      <c r="K40" s="79"/>
      <c r="L40" s="80"/>
      <c r="M40" s="214"/>
      <c r="N40" s="129">
        <f t="shared" si="24"/>
        <v>37952</v>
      </c>
      <c r="O40" s="79">
        <v>37952</v>
      </c>
      <c r="P40" s="79"/>
      <c r="Q40" s="79"/>
      <c r="R40" s="79"/>
      <c r="S40" s="79"/>
      <c r="T40" s="79"/>
      <c r="U40" s="79"/>
      <c r="V40" s="79"/>
      <c r="W40" s="80"/>
      <c r="X40" s="419">
        <f t="shared" si="17"/>
        <v>5.3112404836542764</v>
      </c>
      <c r="Y40" s="419">
        <f t="shared" si="18"/>
        <v>5.3112404836542764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</row>
    <row r="41" spans="1:42" s="26" customFormat="1" ht="15.75" customHeight="1" x14ac:dyDescent="0.2">
      <c r="A41" s="289" t="s">
        <v>287</v>
      </c>
      <c r="B41" s="154" t="s">
        <v>12</v>
      </c>
      <c r="C41" s="129">
        <v>0</v>
      </c>
      <c r="D41" s="79"/>
      <c r="E41" s="79"/>
      <c r="F41" s="79"/>
      <c r="G41" s="79"/>
      <c r="H41" s="79"/>
      <c r="I41" s="79"/>
      <c r="J41" s="79"/>
      <c r="K41" s="79"/>
      <c r="L41" s="80"/>
      <c r="M41" s="214"/>
      <c r="N41" s="129">
        <f t="shared" si="24"/>
        <v>0</v>
      </c>
      <c r="O41" s="79"/>
      <c r="P41" s="79"/>
      <c r="Q41" s="79"/>
      <c r="R41" s="79"/>
      <c r="S41" s="79"/>
      <c r="T41" s="79"/>
      <c r="U41" s="79"/>
      <c r="V41" s="79"/>
      <c r="W41" s="80"/>
      <c r="X41" s="419" t="str">
        <f t="shared" si="17"/>
        <v>-</v>
      </c>
      <c r="Y41" s="419" t="str">
        <f t="shared" si="18"/>
        <v>-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2" s="26" customFormat="1" ht="15.75" customHeight="1" x14ac:dyDescent="0.2">
      <c r="A42" s="289" t="s">
        <v>288</v>
      </c>
      <c r="B42" s="154" t="s">
        <v>265</v>
      </c>
      <c r="C42" s="129">
        <v>0</v>
      </c>
      <c r="D42" s="229"/>
      <c r="E42" s="229"/>
      <c r="F42" s="229"/>
      <c r="G42" s="229"/>
      <c r="H42" s="229"/>
      <c r="I42" s="229"/>
      <c r="J42" s="229"/>
      <c r="K42" s="229"/>
      <c r="L42" s="363"/>
      <c r="M42" s="214"/>
      <c r="N42" s="129">
        <f t="shared" si="24"/>
        <v>0</v>
      </c>
      <c r="O42" s="229"/>
      <c r="P42" s="229"/>
      <c r="Q42" s="229"/>
      <c r="R42" s="229"/>
      <c r="S42" s="229"/>
      <c r="T42" s="229"/>
      <c r="U42" s="229"/>
      <c r="V42" s="229"/>
      <c r="W42" s="363"/>
      <c r="X42" s="419" t="str">
        <f t="shared" si="17"/>
        <v>-</v>
      </c>
      <c r="Y42" s="419" t="str">
        <f t="shared" si="18"/>
        <v>-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s="26" customFormat="1" ht="15.75" customHeight="1" x14ac:dyDescent="0.2">
      <c r="A43" s="326" t="s">
        <v>289</v>
      </c>
      <c r="B43" s="64" t="s">
        <v>8</v>
      </c>
      <c r="C43" s="63">
        <v>73060</v>
      </c>
      <c r="D43" s="79">
        <v>73060</v>
      </c>
      <c r="E43" s="79"/>
      <c r="F43" s="79"/>
      <c r="G43" s="79"/>
      <c r="H43" s="79"/>
      <c r="I43" s="79"/>
      <c r="J43" s="79"/>
      <c r="K43" s="79"/>
      <c r="L43" s="80"/>
      <c r="M43" s="214"/>
      <c r="N43" s="63">
        <f t="shared" si="24"/>
        <v>72615</v>
      </c>
      <c r="O43" s="79">
        <v>72615</v>
      </c>
      <c r="P43" s="79"/>
      <c r="Q43" s="79"/>
      <c r="R43" s="79"/>
      <c r="S43" s="79"/>
      <c r="T43" s="79"/>
      <c r="U43" s="79"/>
      <c r="V43" s="79"/>
      <c r="W43" s="80"/>
      <c r="X43" s="419">
        <f t="shared" si="17"/>
        <v>99.390911579523674</v>
      </c>
      <c r="Y43" s="419">
        <f t="shared" si="18"/>
        <v>99.390911579523674</v>
      </c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</row>
    <row r="44" spans="1:42" s="68" customFormat="1" ht="15.75" customHeight="1" x14ac:dyDescent="0.25">
      <c r="A44" s="290">
        <v>2</v>
      </c>
      <c r="B44" s="128" t="s">
        <v>0</v>
      </c>
      <c r="C44" s="74">
        <v>878773</v>
      </c>
      <c r="D44" s="74">
        <v>878773</v>
      </c>
      <c r="E44" s="74">
        <v>0</v>
      </c>
      <c r="F44" s="74">
        <v>0</v>
      </c>
      <c r="G44" s="74">
        <v>0</v>
      </c>
      <c r="H44" s="74">
        <v>0</v>
      </c>
      <c r="I44" s="75">
        <v>0</v>
      </c>
      <c r="J44" s="75">
        <v>0</v>
      </c>
      <c r="K44" s="75">
        <v>0</v>
      </c>
      <c r="L44" s="75">
        <v>0</v>
      </c>
      <c r="M44" s="214"/>
      <c r="N44" s="74">
        <f t="shared" si="24"/>
        <v>864007</v>
      </c>
      <c r="O44" s="74">
        <f t="shared" ref="O44:W44" si="26">SUM(O45:O45)</f>
        <v>863934</v>
      </c>
      <c r="P44" s="74">
        <f t="shared" si="26"/>
        <v>0</v>
      </c>
      <c r="Q44" s="74">
        <f t="shared" si="26"/>
        <v>0</v>
      </c>
      <c r="R44" s="74">
        <f t="shared" si="26"/>
        <v>0</v>
      </c>
      <c r="S44" s="74">
        <f t="shared" si="26"/>
        <v>0</v>
      </c>
      <c r="T44" s="75">
        <f t="shared" si="26"/>
        <v>73</v>
      </c>
      <c r="U44" s="75">
        <f t="shared" si="26"/>
        <v>0</v>
      </c>
      <c r="V44" s="75">
        <f t="shared" si="26"/>
        <v>0</v>
      </c>
      <c r="W44" s="75">
        <f t="shared" si="26"/>
        <v>0</v>
      </c>
      <c r="X44" s="419">
        <f t="shared" si="17"/>
        <v>98.319702585309287</v>
      </c>
      <c r="Y44" s="419">
        <f t="shared" si="18"/>
        <v>98.311395548110838</v>
      </c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</row>
    <row r="45" spans="1:42" s="26" customFormat="1" ht="15.75" customHeight="1" x14ac:dyDescent="0.2">
      <c r="A45" s="312" t="s">
        <v>290</v>
      </c>
      <c r="B45" s="64" t="s">
        <v>0</v>
      </c>
      <c r="C45" s="63">
        <v>878773</v>
      </c>
      <c r="D45" s="44">
        <v>878773</v>
      </c>
      <c r="E45" s="44"/>
      <c r="F45" s="44"/>
      <c r="G45" s="44"/>
      <c r="H45" s="44"/>
      <c r="I45" s="44"/>
      <c r="J45" s="44"/>
      <c r="K45" s="44"/>
      <c r="L45" s="46"/>
      <c r="M45" s="214"/>
      <c r="N45" s="63">
        <f t="shared" si="24"/>
        <v>864007</v>
      </c>
      <c r="O45" s="44">
        <v>863934</v>
      </c>
      <c r="P45" s="44"/>
      <c r="Q45" s="44"/>
      <c r="R45" s="44"/>
      <c r="S45" s="44"/>
      <c r="T45" s="44">
        <v>73</v>
      </c>
      <c r="U45" s="44"/>
      <c r="V45" s="44"/>
      <c r="W45" s="46"/>
      <c r="X45" s="419">
        <f t="shared" si="17"/>
        <v>98.319702585309287</v>
      </c>
      <c r="Y45" s="419">
        <f t="shared" si="18"/>
        <v>98.311395548110838</v>
      </c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1:42" s="68" customFormat="1" ht="15.75" customHeight="1" x14ac:dyDescent="0.25">
      <c r="A46" s="290">
        <v>3</v>
      </c>
      <c r="B46" s="66" t="s">
        <v>1</v>
      </c>
      <c r="C46" s="74">
        <v>557094</v>
      </c>
      <c r="D46" s="74">
        <v>557094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5">
        <v>0</v>
      </c>
      <c r="M46" s="214"/>
      <c r="N46" s="74">
        <f t="shared" si="24"/>
        <v>431051</v>
      </c>
      <c r="O46" s="74">
        <f t="shared" ref="O46:W46" si="27">SUM(O47:O52)</f>
        <v>431051</v>
      </c>
      <c r="P46" s="74">
        <f t="shared" si="27"/>
        <v>0</v>
      </c>
      <c r="Q46" s="74">
        <f>SUM(Q47:Q52)</f>
        <v>0</v>
      </c>
      <c r="R46" s="74">
        <f t="shared" si="27"/>
        <v>0</v>
      </c>
      <c r="S46" s="74">
        <f>SUM(S47:S52)</f>
        <v>0</v>
      </c>
      <c r="T46" s="74">
        <f t="shared" si="27"/>
        <v>0</v>
      </c>
      <c r="U46" s="74">
        <f>SUM(U47:U52)</f>
        <v>0</v>
      </c>
      <c r="V46" s="74">
        <f>SUM(V47:V52)</f>
        <v>0</v>
      </c>
      <c r="W46" s="75">
        <f t="shared" si="27"/>
        <v>0</v>
      </c>
      <c r="X46" s="419">
        <f t="shared" si="17"/>
        <v>77.374913389840856</v>
      </c>
      <c r="Y46" s="419">
        <f t="shared" si="18"/>
        <v>77.374913389840856</v>
      </c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</row>
    <row r="47" spans="1:42" s="26" customFormat="1" ht="15.75" customHeight="1" x14ac:dyDescent="0.2">
      <c r="A47" s="326" t="s">
        <v>291</v>
      </c>
      <c r="B47" s="24" t="s">
        <v>13</v>
      </c>
      <c r="C47" s="63">
        <v>128000</v>
      </c>
      <c r="D47" s="44">
        <v>128000</v>
      </c>
      <c r="E47" s="44"/>
      <c r="F47" s="44"/>
      <c r="G47" s="44"/>
      <c r="H47" s="44"/>
      <c r="I47" s="44"/>
      <c r="J47" s="44"/>
      <c r="K47" s="44"/>
      <c r="L47" s="46"/>
      <c r="M47" s="214"/>
      <c r="N47" s="63">
        <f t="shared" si="24"/>
        <v>132026</v>
      </c>
      <c r="O47" s="44">
        <v>132026</v>
      </c>
      <c r="P47" s="44"/>
      <c r="Q47" s="44"/>
      <c r="R47" s="44"/>
      <c r="S47" s="44"/>
      <c r="T47" s="44"/>
      <c r="U47" s="44"/>
      <c r="V47" s="44"/>
      <c r="W47" s="46"/>
      <c r="X47" s="419">
        <f t="shared" si="17"/>
        <v>103.1453125</v>
      </c>
      <c r="Y47" s="419">
        <f t="shared" si="18"/>
        <v>103.1453125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1:42" s="26" customFormat="1" ht="15.75" customHeight="1" x14ac:dyDescent="0.2">
      <c r="A48" s="326" t="s">
        <v>292</v>
      </c>
      <c r="B48" s="124" t="s">
        <v>2</v>
      </c>
      <c r="C48" s="129">
        <v>162000</v>
      </c>
      <c r="D48" s="79">
        <v>162000</v>
      </c>
      <c r="E48" s="79"/>
      <c r="F48" s="79"/>
      <c r="G48" s="79"/>
      <c r="H48" s="79"/>
      <c r="I48" s="44"/>
      <c r="J48" s="44"/>
      <c r="K48" s="44"/>
      <c r="L48" s="46"/>
      <c r="M48" s="214"/>
      <c r="N48" s="129">
        <f t="shared" si="24"/>
        <v>163003</v>
      </c>
      <c r="O48" s="79">
        <v>163003</v>
      </c>
      <c r="P48" s="79"/>
      <c r="Q48" s="79"/>
      <c r="R48" s="79"/>
      <c r="S48" s="79"/>
      <c r="T48" s="44"/>
      <c r="U48" s="44"/>
      <c r="V48" s="44"/>
      <c r="W48" s="46"/>
      <c r="X48" s="419">
        <f t="shared" si="17"/>
        <v>100.61913580246913</v>
      </c>
      <c r="Y48" s="419">
        <f t="shared" si="18"/>
        <v>100.61913580246913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1:42" s="26" customFormat="1" ht="15.75" customHeight="1" x14ac:dyDescent="0.2">
      <c r="A49" s="326" t="s">
        <v>293</v>
      </c>
      <c r="B49" s="64" t="s">
        <v>3</v>
      </c>
      <c r="C49" s="63">
        <v>116883</v>
      </c>
      <c r="D49" s="44">
        <v>116883</v>
      </c>
      <c r="E49" s="44"/>
      <c r="F49" s="44"/>
      <c r="G49" s="44"/>
      <c r="H49" s="44"/>
      <c r="I49" s="44"/>
      <c r="J49" s="44"/>
      <c r="K49" s="44"/>
      <c r="L49" s="46"/>
      <c r="M49" s="214"/>
      <c r="N49" s="63">
        <f t="shared" si="24"/>
        <v>113403</v>
      </c>
      <c r="O49" s="44">
        <v>113403</v>
      </c>
      <c r="P49" s="44"/>
      <c r="Q49" s="44"/>
      <c r="R49" s="44"/>
      <c r="S49" s="44"/>
      <c r="T49" s="44"/>
      <c r="U49" s="44"/>
      <c r="V49" s="44"/>
      <c r="W49" s="46"/>
      <c r="X49" s="419">
        <f t="shared" si="17"/>
        <v>97.022663689330358</v>
      </c>
      <c r="Y49" s="419">
        <f t="shared" si="18"/>
        <v>97.022663689330358</v>
      </c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</row>
    <row r="50" spans="1:42" s="26" customFormat="1" ht="15.75" customHeight="1" x14ac:dyDescent="0.2">
      <c r="A50" s="326" t="s">
        <v>294</v>
      </c>
      <c r="B50" s="64" t="s">
        <v>4</v>
      </c>
      <c r="C50" s="63">
        <v>143372</v>
      </c>
      <c r="D50" s="44">
        <v>143372</v>
      </c>
      <c r="E50" s="44"/>
      <c r="F50" s="44"/>
      <c r="G50" s="44"/>
      <c r="H50" s="44"/>
      <c r="I50" s="44"/>
      <c r="J50" s="44"/>
      <c r="K50" s="44"/>
      <c r="L50" s="46"/>
      <c r="M50" s="214"/>
      <c r="N50" s="63">
        <f t="shared" si="24"/>
        <v>17686</v>
      </c>
      <c r="O50" s="44">
        <v>17686</v>
      </c>
      <c r="P50" s="44"/>
      <c r="Q50" s="44"/>
      <c r="R50" s="44"/>
      <c r="S50" s="44"/>
      <c r="T50" s="44"/>
      <c r="U50" s="44"/>
      <c r="V50" s="44"/>
      <c r="W50" s="46"/>
      <c r="X50" s="419">
        <f t="shared" si="17"/>
        <v>12.335741985882878</v>
      </c>
      <c r="Y50" s="419">
        <f t="shared" si="18"/>
        <v>12.335741985882878</v>
      </c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1:42" s="26" customFormat="1" ht="15.75" customHeight="1" x14ac:dyDescent="0.2">
      <c r="A51" s="326" t="s">
        <v>295</v>
      </c>
      <c r="B51" s="64" t="s">
        <v>14</v>
      </c>
      <c r="C51" s="63">
        <v>5139</v>
      </c>
      <c r="D51" s="44">
        <v>5139</v>
      </c>
      <c r="E51" s="44"/>
      <c r="F51" s="44"/>
      <c r="G51" s="44"/>
      <c r="H51" s="44"/>
      <c r="I51" s="44"/>
      <c r="J51" s="44"/>
      <c r="K51" s="44"/>
      <c r="L51" s="46"/>
      <c r="M51" s="214"/>
      <c r="N51" s="63">
        <f t="shared" si="24"/>
        <v>4933</v>
      </c>
      <c r="O51" s="44">
        <v>4933</v>
      </c>
      <c r="P51" s="44"/>
      <c r="Q51" s="44"/>
      <c r="R51" s="44"/>
      <c r="S51" s="44"/>
      <c r="T51" s="44"/>
      <c r="U51" s="44"/>
      <c r="V51" s="44"/>
      <c r="W51" s="46"/>
      <c r="X51" s="419">
        <f t="shared" si="17"/>
        <v>95.99143802296166</v>
      </c>
      <c r="Y51" s="419">
        <f t="shared" si="18"/>
        <v>95.99143802296166</v>
      </c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</row>
    <row r="52" spans="1:42" s="26" customFormat="1" ht="15.75" customHeight="1" x14ac:dyDescent="0.2">
      <c r="A52" s="83" t="s">
        <v>296</v>
      </c>
      <c r="B52" s="65" t="s">
        <v>5</v>
      </c>
      <c r="C52" s="63">
        <v>1700</v>
      </c>
      <c r="D52" s="44">
        <v>1700</v>
      </c>
      <c r="E52" s="44"/>
      <c r="F52" s="44"/>
      <c r="G52" s="44"/>
      <c r="H52" s="44"/>
      <c r="I52" s="44"/>
      <c r="J52" s="44"/>
      <c r="K52" s="44"/>
      <c r="L52" s="46"/>
      <c r="M52" s="214"/>
      <c r="N52" s="63">
        <f t="shared" si="24"/>
        <v>0</v>
      </c>
      <c r="O52" s="44">
        <v>0</v>
      </c>
      <c r="P52" s="44"/>
      <c r="Q52" s="44"/>
      <c r="R52" s="44"/>
      <c r="S52" s="44"/>
      <c r="T52" s="44"/>
      <c r="U52" s="44"/>
      <c r="V52" s="44"/>
      <c r="W52" s="46"/>
      <c r="X52" s="419">
        <f t="shared" si="17"/>
        <v>0</v>
      </c>
      <c r="Y52" s="419">
        <f t="shared" si="18"/>
        <v>0</v>
      </c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</row>
    <row r="53" spans="1:42" s="68" customFormat="1" ht="15.75" customHeight="1" x14ac:dyDescent="0.25">
      <c r="A53" s="290">
        <v>4</v>
      </c>
      <c r="B53" s="66" t="s">
        <v>333</v>
      </c>
      <c r="C53" s="74">
        <v>1204822</v>
      </c>
      <c r="D53" s="74">
        <v>1119822</v>
      </c>
      <c r="E53" s="74">
        <v>0</v>
      </c>
      <c r="F53" s="74">
        <v>0</v>
      </c>
      <c r="G53" s="74">
        <v>0</v>
      </c>
      <c r="H53" s="74">
        <v>0</v>
      </c>
      <c r="I53" s="74">
        <v>36000</v>
      </c>
      <c r="J53" s="74">
        <v>0</v>
      </c>
      <c r="K53" s="74">
        <v>49000</v>
      </c>
      <c r="L53" s="74">
        <v>0</v>
      </c>
      <c r="M53" s="214"/>
      <c r="N53" s="74">
        <f t="shared" si="24"/>
        <v>1397633</v>
      </c>
      <c r="O53" s="74">
        <f t="shared" ref="O53:W53" si="28">O55+O56+O57+O60+O63-O54</f>
        <v>1333319</v>
      </c>
      <c r="P53" s="74">
        <f t="shared" si="28"/>
        <v>0</v>
      </c>
      <c r="Q53" s="74">
        <f t="shared" si="28"/>
        <v>0</v>
      </c>
      <c r="R53" s="74">
        <f t="shared" si="28"/>
        <v>0</v>
      </c>
      <c r="S53" s="74">
        <f t="shared" si="28"/>
        <v>0</v>
      </c>
      <c r="T53" s="74">
        <f t="shared" si="28"/>
        <v>60714</v>
      </c>
      <c r="U53" s="74">
        <f t="shared" si="28"/>
        <v>0</v>
      </c>
      <c r="V53" s="74">
        <f t="shared" si="28"/>
        <v>3600</v>
      </c>
      <c r="W53" s="74">
        <f t="shared" si="28"/>
        <v>0</v>
      </c>
      <c r="X53" s="419">
        <f t="shared" si="17"/>
        <v>116.00327683259435</v>
      </c>
      <c r="Y53" s="419">
        <f t="shared" si="18"/>
        <v>119.06526215773579</v>
      </c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</row>
    <row r="54" spans="1:42" s="68" customFormat="1" ht="15.75" customHeight="1" x14ac:dyDescent="0.25">
      <c r="A54" s="290">
        <v>5</v>
      </c>
      <c r="B54" s="66" t="s">
        <v>332</v>
      </c>
      <c r="C54" s="74">
        <v>338189</v>
      </c>
      <c r="D54" s="74">
        <v>338189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214"/>
      <c r="N54" s="74">
        <f t="shared" si="24"/>
        <v>324621</v>
      </c>
      <c r="O54" s="74">
        <f>O59+O62+O66</f>
        <v>324621</v>
      </c>
      <c r="P54" s="74">
        <f t="shared" ref="P54:W54" si="29">P59+P62+P66</f>
        <v>0</v>
      </c>
      <c r="Q54" s="74">
        <f t="shared" si="29"/>
        <v>0</v>
      </c>
      <c r="R54" s="74">
        <f t="shared" si="29"/>
        <v>0</v>
      </c>
      <c r="S54" s="74">
        <f t="shared" si="29"/>
        <v>0</v>
      </c>
      <c r="T54" s="74">
        <f t="shared" si="29"/>
        <v>0</v>
      </c>
      <c r="U54" s="74">
        <f t="shared" si="29"/>
        <v>0</v>
      </c>
      <c r="V54" s="74">
        <f t="shared" si="29"/>
        <v>0</v>
      </c>
      <c r="W54" s="74">
        <f t="shared" si="29"/>
        <v>0</v>
      </c>
      <c r="X54" s="419">
        <f t="shared" si="17"/>
        <v>95.988042189426622</v>
      </c>
      <c r="Y54" s="419">
        <f t="shared" si="18"/>
        <v>95.988042189426622</v>
      </c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</row>
    <row r="55" spans="1:42" s="26" customFormat="1" ht="15.75" customHeight="1" x14ac:dyDescent="0.2">
      <c r="A55" s="326" t="s">
        <v>297</v>
      </c>
      <c r="B55" s="64" t="s">
        <v>21</v>
      </c>
      <c r="C55" s="63">
        <v>1066000</v>
      </c>
      <c r="D55" s="44">
        <v>981000</v>
      </c>
      <c r="E55" s="44"/>
      <c r="F55" s="44"/>
      <c r="G55" s="44"/>
      <c r="H55" s="44"/>
      <c r="I55" s="44">
        <v>36000</v>
      </c>
      <c r="J55" s="44"/>
      <c r="K55" s="44">
        <v>49000</v>
      </c>
      <c r="L55" s="46"/>
      <c r="M55" s="214"/>
      <c r="N55" s="63">
        <f t="shared" si="24"/>
        <v>1204780</v>
      </c>
      <c r="O55" s="44">
        <f>1140465+1</f>
        <v>1140466</v>
      </c>
      <c r="P55" s="44"/>
      <c r="Q55" s="44"/>
      <c r="R55" s="44"/>
      <c r="S55" s="44"/>
      <c r="T55" s="44">
        <v>60714</v>
      </c>
      <c r="U55" s="44"/>
      <c r="V55" s="44">
        <v>3600</v>
      </c>
      <c r="W55" s="46"/>
      <c r="X55" s="419">
        <f t="shared" si="17"/>
        <v>113.01876172607881</v>
      </c>
      <c r="Y55" s="419">
        <f t="shared" si="18"/>
        <v>116.25545361875638</v>
      </c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</row>
    <row r="56" spans="1:42" s="26" customFormat="1" ht="15.75" customHeight="1" x14ac:dyDescent="0.2">
      <c r="A56" s="326" t="s">
        <v>298</v>
      </c>
      <c r="B56" s="64" t="s">
        <v>22</v>
      </c>
      <c r="C56" s="63">
        <v>95000</v>
      </c>
      <c r="D56" s="44">
        <v>95000</v>
      </c>
      <c r="E56" s="44"/>
      <c r="F56" s="44"/>
      <c r="G56" s="44"/>
      <c r="H56" s="44"/>
      <c r="I56" s="44"/>
      <c r="J56" s="44"/>
      <c r="K56" s="44"/>
      <c r="L56" s="46"/>
      <c r="M56" s="214"/>
      <c r="N56" s="44">
        <f t="shared" si="24"/>
        <v>126749</v>
      </c>
      <c r="O56" s="44">
        <v>126749</v>
      </c>
      <c r="P56" s="44"/>
      <c r="Q56" s="44"/>
      <c r="R56" s="44"/>
      <c r="S56" s="44"/>
      <c r="T56" s="44"/>
      <c r="U56" s="44"/>
      <c r="V56" s="44"/>
      <c r="W56" s="46"/>
      <c r="X56" s="419">
        <f t="shared" si="17"/>
        <v>133.42000000000002</v>
      </c>
      <c r="Y56" s="419">
        <f t="shared" si="18"/>
        <v>133.42000000000002</v>
      </c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</row>
    <row r="57" spans="1:42" s="26" customFormat="1" ht="15.75" customHeight="1" x14ac:dyDescent="0.2">
      <c r="A57" s="327" t="s">
        <v>300</v>
      </c>
      <c r="B57" s="64" t="s">
        <v>320</v>
      </c>
      <c r="C57" s="151">
        <v>0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152">
        <v>0</v>
      </c>
      <c r="M57" s="214"/>
      <c r="N57" s="151">
        <f t="shared" si="24"/>
        <v>0</v>
      </c>
      <c r="O57" s="151">
        <f t="shared" ref="O57:W57" si="30">SUM(O58:O59)</f>
        <v>0</v>
      </c>
      <c r="P57" s="151">
        <f t="shared" si="30"/>
        <v>0</v>
      </c>
      <c r="Q57" s="151">
        <f t="shared" si="30"/>
        <v>0</v>
      </c>
      <c r="R57" s="151">
        <f t="shared" si="30"/>
        <v>0</v>
      </c>
      <c r="S57" s="151">
        <f t="shared" si="30"/>
        <v>0</v>
      </c>
      <c r="T57" s="151">
        <f t="shared" si="30"/>
        <v>0</v>
      </c>
      <c r="U57" s="151">
        <f t="shared" si="30"/>
        <v>0</v>
      </c>
      <c r="V57" s="151">
        <f t="shared" si="30"/>
        <v>0</v>
      </c>
      <c r="W57" s="152">
        <f t="shared" si="30"/>
        <v>0</v>
      </c>
      <c r="X57" s="419" t="str">
        <f t="shared" si="17"/>
        <v>-</v>
      </c>
      <c r="Y57" s="419" t="str">
        <f t="shared" si="18"/>
        <v>-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</row>
    <row r="58" spans="1:42" s="366" customFormat="1" ht="15.75" customHeight="1" x14ac:dyDescent="0.2">
      <c r="A58" s="361" t="s">
        <v>309</v>
      </c>
      <c r="B58" s="362" t="s">
        <v>308</v>
      </c>
      <c r="C58" s="229">
        <v>0</v>
      </c>
      <c r="D58" s="229"/>
      <c r="E58" s="229"/>
      <c r="F58" s="229"/>
      <c r="G58" s="229"/>
      <c r="H58" s="229"/>
      <c r="I58" s="229"/>
      <c r="J58" s="229"/>
      <c r="K58" s="229"/>
      <c r="L58" s="363"/>
      <c r="M58" s="364"/>
      <c r="N58" s="229">
        <f t="shared" si="24"/>
        <v>0</v>
      </c>
      <c r="O58" s="229"/>
      <c r="P58" s="229"/>
      <c r="Q58" s="229"/>
      <c r="R58" s="229"/>
      <c r="S58" s="229"/>
      <c r="T58" s="229"/>
      <c r="U58" s="229"/>
      <c r="V58" s="229"/>
      <c r="W58" s="363"/>
      <c r="X58" s="419" t="str">
        <f t="shared" si="17"/>
        <v>-</v>
      </c>
      <c r="Y58" s="419" t="str">
        <f t="shared" si="18"/>
        <v>-</v>
      </c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  <c r="AN58" s="365"/>
      <c r="AO58" s="365"/>
      <c r="AP58" s="365"/>
    </row>
    <row r="59" spans="1:42" s="366" customFormat="1" ht="15.75" customHeight="1" x14ac:dyDescent="0.2">
      <c r="A59" s="361" t="s">
        <v>334</v>
      </c>
      <c r="B59" s="319" t="s">
        <v>269</v>
      </c>
      <c r="C59" s="229">
        <v>0</v>
      </c>
      <c r="D59" s="229"/>
      <c r="E59" s="229"/>
      <c r="F59" s="229"/>
      <c r="G59" s="229"/>
      <c r="H59" s="229"/>
      <c r="I59" s="229"/>
      <c r="J59" s="229"/>
      <c r="K59" s="229"/>
      <c r="L59" s="363"/>
      <c r="M59" s="364"/>
      <c r="N59" s="229">
        <f t="shared" si="24"/>
        <v>0</v>
      </c>
      <c r="O59" s="229"/>
      <c r="P59" s="229"/>
      <c r="Q59" s="229"/>
      <c r="R59" s="229"/>
      <c r="S59" s="229"/>
      <c r="T59" s="229"/>
      <c r="U59" s="229"/>
      <c r="V59" s="229"/>
      <c r="W59" s="363"/>
      <c r="X59" s="419" t="str">
        <f t="shared" si="17"/>
        <v>-</v>
      </c>
      <c r="Y59" s="419" t="str">
        <f t="shared" si="18"/>
        <v>-</v>
      </c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365"/>
      <c r="AP59" s="365"/>
    </row>
    <row r="60" spans="1:42" s="26" customFormat="1" ht="15.75" customHeight="1" x14ac:dyDescent="0.2">
      <c r="A60" s="327" t="s">
        <v>299</v>
      </c>
      <c r="B60" s="24" t="s">
        <v>321</v>
      </c>
      <c r="C60" s="63">
        <v>70460</v>
      </c>
      <c r="D60" s="63">
        <v>70460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76">
        <v>0</v>
      </c>
      <c r="M60" s="214"/>
      <c r="N60" s="63">
        <f t="shared" si="24"/>
        <v>73701</v>
      </c>
      <c r="O60" s="63">
        <f t="shared" ref="O60:W60" si="31">SUM(O61:O62)</f>
        <v>73701</v>
      </c>
      <c r="P60" s="63">
        <f t="shared" si="31"/>
        <v>0</v>
      </c>
      <c r="Q60" s="63">
        <f t="shared" si="31"/>
        <v>0</v>
      </c>
      <c r="R60" s="63">
        <f t="shared" si="31"/>
        <v>0</v>
      </c>
      <c r="S60" s="63">
        <f t="shared" si="31"/>
        <v>0</v>
      </c>
      <c r="T60" s="63">
        <f t="shared" si="31"/>
        <v>0</v>
      </c>
      <c r="U60" s="63">
        <f t="shared" si="31"/>
        <v>0</v>
      </c>
      <c r="V60" s="63">
        <f t="shared" si="31"/>
        <v>0</v>
      </c>
      <c r="W60" s="76">
        <f t="shared" si="31"/>
        <v>0</v>
      </c>
      <c r="X60" s="419">
        <f t="shared" si="17"/>
        <v>104.59977292080613</v>
      </c>
      <c r="Y60" s="419">
        <f t="shared" si="18"/>
        <v>104.59977292080613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</row>
    <row r="61" spans="1:42" s="366" customFormat="1" ht="15.75" customHeight="1" x14ac:dyDescent="0.2">
      <c r="A61" s="361" t="s">
        <v>312</v>
      </c>
      <c r="B61" s="362" t="s">
        <v>310</v>
      </c>
      <c r="C61" s="129">
        <v>14092</v>
      </c>
      <c r="D61" s="79">
        <v>14092</v>
      </c>
      <c r="E61" s="79"/>
      <c r="F61" s="79"/>
      <c r="G61" s="79"/>
      <c r="H61" s="79"/>
      <c r="I61" s="79"/>
      <c r="J61" s="79"/>
      <c r="K61" s="79"/>
      <c r="L61" s="80"/>
      <c r="M61" s="364"/>
      <c r="N61" s="129">
        <f t="shared" si="24"/>
        <v>33171</v>
      </c>
      <c r="O61" s="79">
        <v>33171</v>
      </c>
      <c r="P61" s="79"/>
      <c r="Q61" s="79"/>
      <c r="R61" s="79"/>
      <c r="S61" s="79"/>
      <c r="T61" s="79"/>
      <c r="U61" s="79"/>
      <c r="V61" s="79"/>
      <c r="W61" s="80"/>
      <c r="X61" s="419">
        <f t="shared" si="17"/>
        <v>235.3888731195004</v>
      </c>
      <c r="Y61" s="419">
        <f t="shared" si="18"/>
        <v>235.3888731195004</v>
      </c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K61" s="365"/>
      <c r="AL61" s="365"/>
      <c r="AM61" s="365"/>
      <c r="AN61" s="365"/>
      <c r="AO61" s="365"/>
      <c r="AP61" s="365"/>
    </row>
    <row r="62" spans="1:42" s="366" customFormat="1" ht="15.75" customHeight="1" x14ac:dyDescent="0.2">
      <c r="A62" s="361" t="s">
        <v>335</v>
      </c>
      <c r="B62" s="319" t="s">
        <v>311</v>
      </c>
      <c r="C62" s="129">
        <v>56368</v>
      </c>
      <c r="D62" s="79">
        <v>56368</v>
      </c>
      <c r="E62" s="79"/>
      <c r="F62" s="79"/>
      <c r="G62" s="79"/>
      <c r="H62" s="79"/>
      <c r="I62" s="79"/>
      <c r="J62" s="79"/>
      <c r="K62" s="79"/>
      <c r="L62" s="80"/>
      <c r="M62" s="364"/>
      <c r="N62" s="129">
        <f t="shared" si="24"/>
        <v>40530</v>
      </c>
      <c r="O62" s="79">
        <v>40530</v>
      </c>
      <c r="P62" s="79"/>
      <c r="Q62" s="79"/>
      <c r="R62" s="79"/>
      <c r="S62" s="79"/>
      <c r="T62" s="79"/>
      <c r="U62" s="79"/>
      <c r="V62" s="79"/>
      <c r="W62" s="80"/>
      <c r="X62" s="419">
        <f t="shared" si="17"/>
        <v>71.902497871132553</v>
      </c>
      <c r="Y62" s="419">
        <f t="shared" si="18"/>
        <v>71.902497871132553</v>
      </c>
      <c r="Z62" s="365"/>
      <c r="AA62" s="365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5"/>
      <c r="AM62" s="365"/>
      <c r="AN62" s="365"/>
      <c r="AO62" s="365"/>
      <c r="AP62" s="365"/>
    </row>
    <row r="63" spans="1:42" s="26" customFormat="1" ht="15.75" customHeight="1" x14ac:dyDescent="0.2">
      <c r="A63" s="367" t="s">
        <v>316</v>
      </c>
      <c r="B63" s="24" t="s">
        <v>267</v>
      </c>
      <c r="C63" s="63">
        <v>311551</v>
      </c>
      <c r="D63" s="63">
        <v>311551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76">
        <v>0</v>
      </c>
      <c r="M63" s="214"/>
      <c r="N63" s="63">
        <f t="shared" si="24"/>
        <v>317024</v>
      </c>
      <c r="O63" s="63">
        <f>SUM(O64:O66)</f>
        <v>317024</v>
      </c>
      <c r="P63" s="63">
        <f t="shared" ref="P63:W63" si="32">SUM(P64:P66)</f>
        <v>0</v>
      </c>
      <c r="Q63" s="63">
        <f>SUM(Q64:Q66)</f>
        <v>0</v>
      </c>
      <c r="R63" s="63">
        <f t="shared" si="32"/>
        <v>0</v>
      </c>
      <c r="S63" s="63">
        <f>SUM(S64:S66)</f>
        <v>0</v>
      </c>
      <c r="T63" s="63">
        <f t="shared" si="32"/>
        <v>0</v>
      </c>
      <c r="U63" s="63">
        <f>SUM(U64:U66)</f>
        <v>0</v>
      </c>
      <c r="V63" s="63">
        <f>SUM(V64:V66)</f>
        <v>0</v>
      </c>
      <c r="W63" s="76">
        <f t="shared" si="32"/>
        <v>0</v>
      </c>
      <c r="X63" s="419">
        <f t="shared" si="17"/>
        <v>101.75669473055775</v>
      </c>
      <c r="Y63" s="419">
        <f t="shared" si="18"/>
        <v>101.75669473055775</v>
      </c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</row>
    <row r="64" spans="1:42" s="366" customFormat="1" ht="15.75" customHeight="1" x14ac:dyDescent="0.2">
      <c r="A64" s="368" t="s">
        <v>317</v>
      </c>
      <c r="B64" s="319" t="s">
        <v>268</v>
      </c>
      <c r="C64" s="129">
        <v>29730</v>
      </c>
      <c r="D64" s="79">
        <v>29730</v>
      </c>
      <c r="E64" s="79"/>
      <c r="F64" s="79"/>
      <c r="G64" s="79"/>
      <c r="H64" s="79"/>
      <c r="I64" s="79"/>
      <c r="J64" s="79"/>
      <c r="K64" s="79"/>
      <c r="L64" s="80"/>
      <c r="M64" s="364"/>
      <c r="N64" s="129">
        <f t="shared" si="24"/>
        <v>32933</v>
      </c>
      <c r="O64" s="79">
        <v>32933</v>
      </c>
      <c r="P64" s="79"/>
      <c r="Q64" s="79"/>
      <c r="R64" s="79"/>
      <c r="S64" s="79"/>
      <c r="T64" s="79"/>
      <c r="U64" s="79"/>
      <c r="V64" s="79"/>
      <c r="W64" s="80"/>
      <c r="X64" s="419">
        <f t="shared" si="17"/>
        <v>110.77362933064245</v>
      </c>
      <c r="Y64" s="419">
        <f t="shared" si="18"/>
        <v>110.77362933064245</v>
      </c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5"/>
      <c r="AN64" s="365"/>
      <c r="AO64" s="365"/>
      <c r="AP64" s="365"/>
    </row>
    <row r="65" spans="1:42" s="366" customFormat="1" ht="15.75" customHeight="1" x14ac:dyDescent="0.2">
      <c r="A65" s="393" t="s">
        <v>318</v>
      </c>
      <c r="B65" s="394" t="s">
        <v>338</v>
      </c>
      <c r="C65" s="129">
        <v>0</v>
      </c>
      <c r="D65" s="391"/>
      <c r="E65" s="391"/>
      <c r="F65" s="391"/>
      <c r="G65" s="391"/>
      <c r="H65" s="391"/>
      <c r="I65" s="391"/>
      <c r="J65" s="391"/>
      <c r="K65" s="391"/>
      <c r="L65" s="392"/>
      <c r="M65" s="364"/>
      <c r="N65" s="129">
        <f t="shared" si="24"/>
        <v>0</v>
      </c>
      <c r="O65" s="391"/>
      <c r="P65" s="391"/>
      <c r="Q65" s="391"/>
      <c r="R65" s="391"/>
      <c r="S65" s="391"/>
      <c r="T65" s="391"/>
      <c r="U65" s="391"/>
      <c r="V65" s="391"/>
      <c r="W65" s="392"/>
      <c r="X65" s="419" t="str">
        <f t="shared" si="17"/>
        <v>-</v>
      </c>
      <c r="Y65" s="419" t="str">
        <f t="shared" si="18"/>
        <v>-</v>
      </c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365"/>
      <c r="AL65" s="365"/>
      <c r="AM65" s="365"/>
      <c r="AN65" s="365"/>
      <c r="AO65" s="365"/>
      <c r="AP65" s="365"/>
    </row>
    <row r="66" spans="1:42" s="366" customFormat="1" ht="15.75" customHeight="1" thickBot="1" x14ac:dyDescent="0.25">
      <c r="A66" s="395" t="s">
        <v>339</v>
      </c>
      <c r="B66" s="320" t="s">
        <v>340</v>
      </c>
      <c r="C66" s="373">
        <v>281821</v>
      </c>
      <c r="D66" s="386">
        <v>281821</v>
      </c>
      <c r="E66" s="386"/>
      <c r="F66" s="386"/>
      <c r="G66" s="386"/>
      <c r="H66" s="386"/>
      <c r="I66" s="386"/>
      <c r="J66" s="386"/>
      <c r="K66" s="386"/>
      <c r="L66" s="387"/>
      <c r="M66" s="364"/>
      <c r="N66" s="373">
        <f t="shared" si="24"/>
        <v>284091</v>
      </c>
      <c r="O66" s="386">
        <v>284091</v>
      </c>
      <c r="P66" s="386"/>
      <c r="Q66" s="386"/>
      <c r="R66" s="386"/>
      <c r="S66" s="386"/>
      <c r="T66" s="386"/>
      <c r="U66" s="386"/>
      <c r="V66" s="386"/>
      <c r="W66" s="387"/>
      <c r="X66" s="422">
        <f t="shared" si="17"/>
        <v>100.80547581620958</v>
      </c>
      <c r="Y66" s="422">
        <f t="shared" si="18"/>
        <v>100.80547581620958</v>
      </c>
      <c r="Z66" s="365"/>
      <c r="AA66" s="365"/>
      <c r="AB66" s="365"/>
      <c r="AC66" s="365"/>
      <c r="AD66" s="365"/>
      <c r="AE66" s="365"/>
      <c r="AF66" s="365"/>
      <c r="AG66" s="365"/>
      <c r="AH66" s="365"/>
      <c r="AI66" s="365"/>
      <c r="AJ66" s="365"/>
      <c r="AK66" s="365"/>
      <c r="AL66" s="365"/>
      <c r="AM66" s="365"/>
      <c r="AN66" s="365"/>
      <c r="AO66" s="365"/>
      <c r="AP66" s="365"/>
    </row>
    <row r="67" spans="1:42" s="26" customFormat="1" ht="15.75" customHeight="1" x14ac:dyDescent="0.25">
      <c r="A67" s="285" t="s">
        <v>165</v>
      </c>
      <c r="B67" s="106" t="s">
        <v>322</v>
      </c>
      <c r="C67" s="85">
        <v>0</v>
      </c>
      <c r="D67" s="101"/>
      <c r="E67" s="101"/>
      <c r="F67" s="101"/>
      <c r="G67" s="101"/>
      <c r="H67" s="101"/>
      <c r="I67" s="101"/>
      <c r="J67" s="101"/>
      <c r="K67" s="101"/>
      <c r="L67" s="102"/>
      <c r="M67" s="214"/>
      <c r="N67" s="85">
        <f t="shared" si="24"/>
        <v>0</v>
      </c>
      <c r="O67" s="101"/>
      <c r="P67" s="101"/>
      <c r="Q67" s="101"/>
      <c r="R67" s="101"/>
      <c r="S67" s="101"/>
      <c r="T67" s="101"/>
      <c r="U67" s="101"/>
      <c r="V67" s="101"/>
      <c r="W67" s="102"/>
      <c r="X67" s="419" t="str">
        <f t="shared" si="17"/>
        <v>-</v>
      </c>
      <c r="Y67" s="419" t="str">
        <f t="shared" si="18"/>
        <v>-</v>
      </c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</row>
    <row r="68" spans="1:42" s="5" customFormat="1" ht="15" x14ac:dyDescent="0.25">
      <c r="A68" s="291"/>
      <c r="B68" s="27" t="s">
        <v>323</v>
      </c>
      <c r="C68" s="73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8">
        <v>0</v>
      </c>
      <c r="M68" s="214"/>
      <c r="N68" s="73">
        <f t="shared" si="24"/>
        <v>0</v>
      </c>
      <c r="O68" s="16">
        <f t="shared" ref="O68:W68" si="33">SUM(O70:O73)</f>
        <v>0</v>
      </c>
      <c r="P68" s="16">
        <f t="shared" si="33"/>
        <v>0</v>
      </c>
      <c r="Q68" s="16">
        <f t="shared" si="33"/>
        <v>0</v>
      </c>
      <c r="R68" s="16">
        <f t="shared" si="33"/>
        <v>0</v>
      </c>
      <c r="S68" s="16">
        <f t="shared" si="33"/>
        <v>0</v>
      </c>
      <c r="T68" s="16">
        <f t="shared" si="33"/>
        <v>0</v>
      </c>
      <c r="U68" s="16">
        <f t="shared" si="33"/>
        <v>0</v>
      </c>
      <c r="V68" s="16">
        <f t="shared" si="33"/>
        <v>0</v>
      </c>
      <c r="W68" s="18">
        <f t="shared" si="33"/>
        <v>0</v>
      </c>
      <c r="X68" s="419" t="str">
        <f t="shared" si="17"/>
        <v>-</v>
      </c>
      <c r="Y68" s="419" t="str">
        <f t="shared" si="18"/>
        <v>-</v>
      </c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s="5" customFormat="1" ht="15.75" thickBot="1" x14ac:dyDescent="0.3">
      <c r="A69" s="286"/>
      <c r="B69" s="99" t="s">
        <v>324</v>
      </c>
      <c r="C69" s="108">
        <v>0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10">
        <v>0</v>
      </c>
      <c r="M69" s="214"/>
      <c r="N69" s="108">
        <f>N67-N68</f>
        <v>0</v>
      </c>
      <c r="O69" s="109">
        <f t="shared" ref="O69:W69" si="34">O67-O68</f>
        <v>0</v>
      </c>
      <c r="P69" s="109">
        <f t="shared" si="34"/>
        <v>0</v>
      </c>
      <c r="Q69" s="109">
        <f>Q67-Q68</f>
        <v>0</v>
      </c>
      <c r="R69" s="109">
        <f t="shared" si="34"/>
        <v>0</v>
      </c>
      <c r="S69" s="109">
        <f>S67-S68</f>
        <v>0</v>
      </c>
      <c r="T69" s="109">
        <f t="shared" si="34"/>
        <v>0</v>
      </c>
      <c r="U69" s="109">
        <f>U67-U68</f>
        <v>0</v>
      </c>
      <c r="V69" s="109">
        <f>V67-V68</f>
        <v>0</v>
      </c>
      <c r="W69" s="110">
        <f t="shared" si="34"/>
        <v>0</v>
      </c>
      <c r="X69" s="419" t="str">
        <f t="shared" si="17"/>
        <v>-</v>
      </c>
      <c r="Y69" s="419" t="str">
        <f t="shared" si="18"/>
        <v>-</v>
      </c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s="26" customFormat="1" ht="15.75" customHeight="1" x14ac:dyDescent="0.2">
      <c r="A70" s="293">
        <v>1</v>
      </c>
      <c r="B70" s="96" t="s">
        <v>15</v>
      </c>
      <c r="C70" s="256">
        <v>0</v>
      </c>
      <c r="D70" s="97"/>
      <c r="E70" s="97"/>
      <c r="F70" s="97"/>
      <c r="G70" s="97"/>
      <c r="H70" s="97"/>
      <c r="I70" s="97"/>
      <c r="J70" s="97"/>
      <c r="K70" s="97"/>
      <c r="L70" s="98"/>
      <c r="M70" s="214"/>
      <c r="N70" s="256">
        <f t="shared" si="24"/>
        <v>0</v>
      </c>
      <c r="O70" s="97"/>
      <c r="P70" s="97"/>
      <c r="Q70" s="97"/>
      <c r="R70" s="97"/>
      <c r="S70" s="97"/>
      <c r="T70" s="97"/>
      <c r="U70" s="97"/>
      <c r="V70" s="97"/>
      <c r="W70" s="98"/>
      <c r="X70" s="419" t="str">
        <f t="shared" si="17"/>
        <v>-</v>
      </c>
      <c r="Y70" s="419" t="str">
        <f t="shared" si="18"/>
        <v>-</v>
      </c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</row>
    <row r="71" spans="1:42" s="26" customFormat="1" ht="14.25" x14ac:dyDescent="0.2">
      <c r="A71" s="294">
        <v>2</v>
      </c>
      <c r="B71" s="24" t="s">
        <v>0</v>
      </c>
      <c r="C71" s="63">
        <v>0</v>
      </c>
      <c r="D71" s="79"/>
      <c r="E71" s="79"/>
      <c r="F71" s="79"/>
      <c r="G71" s="79"/>
      <c r="H71" s="79"/>
      <c r="I71" s="44"/>
      <c r="J71" s="44"/>
      <c r="K71" s="44"/>
      <c r="L71" s="46"/>
      <c r="M71" s="214"/>
      <c r="N71" s="63">
        <f t="shared" si="24"/>
        <v>0</v>
      </c>
      <c r="O71" s="79"/>
      <c r="P71" s="79"/>
      <c r="Q71" s="79"/>
      <c r="R71" s="79"/>
      <c r="S71" s="79"/>
      <c r="T71" s="44"/>
      <c r="U71" s="44"/>
      <c r="V71" s="44"/>
      <c r="W71" s="46"/>
      <c r="X71" s="419" t="str">
        <f t="shared" si="17"/>
        <v>-</v>
      </c>
      <c r="Y71" s="419" t="str">
        <f t="shared" si="18"/>
        <v>-</v>
      </c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</row>
    <row r="72" spans="1:42" s="26" customFormat="1" ht="14.25" x14ac:dyDescent="0.2">
      <c r="A72" s="294">
        <v>3</v>
      </c>
      <c r="B72" s="24" t="s">
        <v>1</v>
      </c>
      <c r="C72" s="63">
        <v>0</v>
      </c>
      <c r="D72" s="44"/>
      <c r="E72" s="44"/>
      <c r="F72" s="44"/>
      <c r="G72" s="44"/>
      <c r="H72" s="44"/>
      <c r="I72" s="44"/>
      <c r="J72" s="44"/>
      <c r="K72" s="44"/>
      <c r="L72" s="44"/>
      <c r="M72" s="214"/>
      <c r="N72" s="63">
        <f t="shared" si="24"/>
        <v>0</v>
      </c>
      <c r="O72" s="44"/>
      <c r="P72" s="44"/>
      <c r="Q72" s="44"/>
      <c r="R72" s="44"/>
      <c r="S72" s="44"/>
      <c r="T72" s="44"/>
      <c r="U72" s="44"/>
      <c r="V72" s="44"/>
      <c r="W72" s="44"/>
      <c r="X72" s="419" t="str">
        <f t="shared" si="17"/>
        <v>-</v>
      </c>
      <c r="Y72" s="419" t="str">
        <f t="shared" si="18"/>
        <v>-</v>
      </c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</row>
    <row r="73" spans="1:42" s="26" customFormat="1" ht="15" thickBot="1" x14ac:dyDescent="0.25">
      <c r="A73" s="295">
        <v>4</v>
      </c>
      <c r="B73" s="323" t="s">
        <v>9</v>
      </c>
      <c r="C73" s="255">
        <v>0</v>
      </c>
      <c r="D73" s="104"/>
      <c r="E73" s="104"/>
      <c r="F73" s="104"/>
      <c r="G73" s="104"/>
      <c r="H73" s="104"/>
      <c r="I73" s="104">
        <v>0</v>
      </c>
      <c r="J73" s="104"/>
      <c r="K73" s="104"/>
      <c r="L73" s="105"/>
      <c r="M73" s="214"/>
      <c r="N73" s="255">
        <f t="shared" si="24"/>
        <v>0</v>
      </c>
      <c r="O73" s="104"/>
      <c r="P73" s="104"/>
      <c r="Q73" s="104"/>
      <c r="R73" s="104"/>
      <c r="S73" s="104"/>
      <c r="T73" s="104"/>
      <c r="U73" s="104"/>
      <c r="V73" s="104"/>
      <c r="W73" s="105"/>
      <c r="X73" s="419" t="str">
        <f t="shared" si="17"/>
        <v>-</v>
      </c>
      <c r="Y73" s="419" t="str">
        <f t="shared" si="18"/>
        <v>-</v>
      </c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</row>
    <row r="74" spans="1:42" s="26" customFormat="1" ht="15.75" customHeight="1" x14ac:dyDescent="0.25">
      <c r="A74" s="285" t="s">
        <v>166</v>
      </c>
      <c r="B74" s="87" t="s">
        <v>313</v>
      </c>
      <c r="C74" s="85">
        <v>348000</v>
      </c>
      <c r="D74" s="85"/>
      <c r="E74" s="101"/>
      <c r="F74" s="101"/>
      <c r="G74" s="101"/>
      <c r="H74" s="101"/>
      <c r="I74" s="101">
        <v>348000</v>
      </c>
      <c r="J74" s="101"/>
      <c r="K74" s="101"/>
      <c r="L74" s="102"/>
      <c r="M74" s="214"/>
      <c r="N74" s="85">
        <f>SUM(O74:W74)</f>
        <v>235001</v>
      </c>
      <c r="O74" s="85"/>
      <c r="P74" s="101"/>
      <c r="Q74" s="101"/>
      <c r="R74" s="101"/>
      <c r="S74" s="101"/>
      <c r="T74" s="101">
        <v>235001</v>
      </c>
      <c r="U74" s="101"/>
      <c r="V74" s="101"/>
      <c r="W74" s="102"/>
      <c r="X74" s="419">
        <f t="shared" ref="X74:Y80" si="35">IF(C74=0,"-",N74/C74*100)</f>
        <v>67.529022988505744</v>
      </c>
      <c r="Y74" s="419" t="str">
        <f t="shared" si="35"/>
        <v>-</v>
      </c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</row>
    <row r="75" spans="1:42" s="5" customFormat="1" ht="15" x14ac:dyDescent="0.25">
      <c r="A75" s="291"/>
      <c r="B75" s="15" t="s">
        <v>314</v>
      </c>
      <c r="C75" s="73">
        <v>240000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240000</v>
      </c>
      <c r="J75" s="16">
        <v>0</v>
      </c>
      <c r="K75" s="16">
        <v>0</v>
      </c>
      <c r="L75" s="18">
        <v>0</v>
      </c>
      <c r="M75" s="214"/>
      <c r="N75" s="73">
        <f>SUM(O75:W75)</f>
        <v>183912</v>
      </c>
      <c r="O75" s="16">
        <f t="shared" ref="O75:W75" si="36">SUM(O77:O80)</f>
        <v>0</v>
      </c>
      <c r="P75" s="16">
        <f t="shared" si="36"/>
        <v>0</v>
      </c>
      <c r="Q75" s="16">
        <f t="shared" si="36"/>
        <v>0</v>
      </c>
      <c r="R75" s="16">
        <f t="shared" si="36"/>
        <v>0</v>
      </c>
      <c r="S75" s="16">
        <f t="shared" si="36"/>
        <v>0</v>
      </c>
      <c r="T75" s="16">
        <f t="shared" si="36"/>
        <v>183912</v>
      </c>
      <c r="U75" s="16">
        <f t="shared" si="36"/>
        <v>0</v>
      </c>
      <c r="V75" s="16">
        <f t="shared" si="36"/>
        <v>0</v>
      </c>
      <c r="W75" s="18">
        <f t="shared" si="36"/>
        <v>0</v>
      </c>
      <c r="X75" s="419">
        <f t="shared" si="35"/>
        <v>76.63</v>
      </c>
      <c r="Y75" s="419" t="str">
        <f t="shared" si="35"/>
        <v>-</v>
      </c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s="95" customFormat="1" ht="15" thickBot="1" x14ac:dyDescent="0.25">
      <c r="A76" s="292"/>
      <c r="B76" s="99" t="s">
        <v>315</v>
      </c>
      <c r="C76" s="108">
        <v>108000</v>
      </c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108000</v>
      </c>
      <c r="J76" s="109">
        <v>0</v>
      </c>
      <c r="K76" s="109">
        <v>0</v>
      </c>
      <c r="L76" s="110">
        <v>0</v>
      </c>
      <c r="M76" s="214"/>
      <c r="N76" s="108">
        <f>N74-N75</f>
        <v>51089</v>
      </c>
      <c r="O76" s="109">
        <f t="shared" ref="O76:W76" si="37">O74-O75</f>
        <v>0</v>
      </c>
      <c r="P76" s="109">
        <f t="shared" si="37"/>
        <v>0</v>
      </c>
      <c r="Q76" s="109">
        <f>Q74-Q75</f>
        <v>0</v>
      </c>
      <c r="R76" s="109">
        <f t="shared" si="37"/>
        <v>0</v>
      </c>
      <c r="S76" s="109">
        <f>S74-S75</f>
        <v>0</v>
      </c>
      <c r="T76" s="109">
        <f t="shared" si="37"/>
        <v>51089</v>
      </c>
      <c r="U76" s="109">
        <f>U74-U75</f>
        <v>0</v>
      </c>
      <c r="V76" s="109">
        <f>V74-V75</f>
        <v>0</v>
      </c>
      <c r="W76" s="110">
        <f t="shared" si="37"/>
        <v>0</v>
      </c>
      <c r="X76" s="419">
        <f t="shared" si="35"/>
        <v>47.30462962962963</v>
      </c>
      <c r="Y76" s="419" t="str">
        <f t="shared" si="35"/>
        <v>-</v>
      </c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</row>
    <row r="77" spans="1:42" s="26" customFormat="1" ht="15.75" customHeight="1" x14ac:dyDescent="0.2">
      <c r="A77" s="293">
        <v>1</v>
      </c>
      <c r="B77" s="96" t="s">
        <v>15</v>
      </c>
      <c r="C77" s="256">
        <v>0</v>
      </c>
      <c r="D77" s="155"/>
      <c r="E77" s="97"/>
      <c r="F77" s="97"/>
      <c r="G77" s="97"/>
      <c r="H77" s="97"/>
      <c r="I77" s="97"/>
      <c r="J77" s="97"/>
      <c r="K77" s="97"/>
      <c r="L77" s="98"/>
      <c r="M77" s="214"/>
      <c r="N77" s="256">
        <f>SUM(O77:W77)</f>
        <v>23432</v>
      </c>
      <c r="O77" s="155"/>
      <c r="P77" s="97"/>
      <c r="Q77" s="97"/>
      <c r="R77" s="97"/>
      <c r="S77" s="97"/>
      <c r="T77" s="97">
        <v>23432</v>
      </c>
      <c r="U77" s="97"/>
      <c r="V77" s="97"/>
      <c r="W77" s="98"/>
      <c r="X77" s="419" t="str">
        <f t="shared" si="35"/>
        <v>-</v>
      </c>
      <c r="Y77" s="419" t="str">
        <f t="shared" si="35"/>
        <v>-</v>
      </c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</row>
    <row r="78" spans="1:42" s="26" customFormat="1" ht="14.25" x14ac:dyDescent="0.2">
      <c r="A78" s="294">
        <v>2</v>
      </c>
      <c r="B78" s="24" t="s">
        <v>0</v>
      </c>
      <c r="C78" s="63">
        <v>0</v>
      </c>
      <c r="D78" s="151"/>
      <c r="E78" s="44"/>
      <c r="F78" s="44"/>
      <c r="G78" s="44"/>
      <c r="H78" s="44"/>
      <c r="I78" s="44"/>
      <c r="J78" s="44"/>
      <c r="K78" s="44"/>
      <c r="L78" s="46"/>
      <c r="M78" s="214"/>
      <c r="N78" s="63">
        <f>SUM(O78:W78)</f>
        <v>3773</v>
      </c>
      <c r="O78" s="151"/>
      <c r="P78" s="44"/>
      <c r="Q78" s="44"/>
      <c r="R78" s="44"/>
      <c r="S78" s="44"/>
      <c r="T78" s="44">
        <v>3773</v>
      </c>
      <c r="U78" s="44"/>
      <c r="V78" s="44"/>
      <c r="W78" s="46"/>
      <c r="X78" s="419" t="str">
        <f t="shared" si="35"/>
        <v>-</v>
      </c>
      <c r="Y78" s="419" t="str">
        <f t="shared" si="35"/>
        <v>-</v>
      </c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</row>
    <row r="79" spans="1:42" s="26" customFormat="1" ht="14.25" x14ac:dyDescent="0.2">
      <c r="A79" s="294">
        <v>3</v>
      </c>
      <c r="B79" s="24" t="s">
        <v>1</v>
      </c>
      <c r="C79" s="63">
        <v>0</v>
      </c>
      <c r="D79" s="151"/>
      <c r="E79" s="44"/>
      <c r="F79" s="44"/>
      <c r="G79" s="44"/>
      <c r="H79" s="44"/>
      <c r="I79" s="44"/>
      <c r="J79" s="44"/>
      <c r="K79" s="44"/>
      <c r="L79" s="44"/>
      <c r="M79" s="214"/>
      <c r="N79" s="63">
        <f>SUM(O79:W79)</f>
        <v>0</v>
      </c>
      <c r="O79" s="151"/>
      <c r="P79" s="44"/>
      <c r="Q79" s="44"/>
      <c r="R79" s="44"/>
      <c r="S79" s="44"/>
      <c r="T79" s="44"/>
      <c r="U79" s="44"/>
      <c r="V79" s="44"/>
      <c r="W79" s="44"/>
      <c r="X79" s="419" t="str">
        <f t="shared" si="35"/>
        <v>-</v>
      </c>
      <c r="Y79" s="419" t="str">
        <f t="shared" si="35"/>
        <v>-</v>
      </c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</row>
    <row r="80" spans="1:42" s="26" customFormat="1" ht="15" thickBot="1" x14ac:dyDescent="0.25">
      <c r="A80" s="295">
        <v>4</v>
      </c>
      <c r="B80" s="323" t="s">
        <v>9</v>
      </c>
      <c r="C80" s="255">
        <v>240000</v>
      </c>
      <c r="D80" s="260"/>
      <c r="E80" s="104"/>
      <c r="F80" s="104"/>
      <c r="G80" s="104"/>
      <c r="H80" s="104"/>
      <c r="I80" s="104">
        <v>240000</v>
      </c>
      <c r="J80" s="104"/>
      <c r="K80" s="104"/>
      <c r="L80" s="105"/>
      <c r="M80" s="214"/>
      <c r="N80" s="255">
        <f>SUM(O80:W80)</f>
        <v>156707</v>
      </c>
      <c r="O80" s="260"/>
      <c r="P80" s="104"/>
      <c r="Q80" s="104"/>
      <c r="R80" s="104"/>
      <c r="S80" s="104"/>
      <c r="T80" s="104">
        <f>159124-2417</f>
        <v>156707</v>
      </c>
      <c r="U80" s="104"/>
      <c r="V80" s="104"/>
      <c r="W80" s="105"/>
      <c r="X80" s="419">
        <f t="shared" si="35"/>
        <v>65.294583333333335</v>
      </c>
      <c r="Y80" s="419" t="str">
        <f t="shared" si="35"/>
        <v>-</v>
      </c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</row>
    <row r="81" spans="1:42" s="26" customFormat="1" ht="15" customHeight="1" x14ac:dyDescent="0.25">
      <c r="A81" s="285" t="s">
        <v>167</v>
      </c>
      <c r="B81" s="106" t="s">
        <v>325</v>
      </c>
      <c r="C81" s="85">
        <v>189200</v>
      </c>
      <c r="D81" s="101"/>
      <c r="E81" s="101"/>
      <c r="F81" s="101"/>
      <c r="G81" s="101"/>
      <c r="H81" s="101"/>
      <c r="I81" s="101">
        <v>189200</v>
      </c>
      <c r="J81" s="101"/>
      <c r="K81" s="101"/>
      <c r="L81" s="102"/>
      <c r="M81" s="214"/>
      <c r="N81" s="85">
        <f t="shared" si="24"/>
        <v>217314</v>
      </c>
      <c r="O81" s="101">
        <v>15390</v>
      </c>
      <c r="P81" s="101"/>
      <c r="Q81" s="101"/>
      <c r="R81" s="101"/>
      <c r="S81" s="101"/>
      <c r="T81" s="101">
        <v>201924</v>
      </c>
      <c r="U81" s="101"/>
      <c r="V81" s="101"/>
      <c r="W81" s="102"/>
      <c r="X81" s="419">
        <f t="shared" si="17"/>
        <v>114.85940803382664</v>
      </c>
      <c r="Y81" s="419" t="str">
        <f t="shared" si="18"/>
        <v>-</v>
      </c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</row>
    <row r="82" spans="1:42" s="5" customFormat="1" ht="15" customHeight="1" x14ac:dyDescent="0.25">
      <c r="A82" s="291"/>
      <c r="B82" s="27" t="s">
        <v>326</v>
      </c>
      <c r="C82" s="73">
        <v>123000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123000</v>
      </c>
      <c r="J82" s="16">
        <v>0</v>
      </c>
      <c r="K82" s="16">
        <v>0</v>
      </c>
      <c r="L82" s="18">
        <v>0</v>
      </c>
      <c r="M82" s="214"/>
      <c r="N82" s="73">
        <f t="shared" si="24"/>
        <v>171676</v>
      </c>
      <c r="O82" s="16">
        <f t="shared" ref="O82:W82" si="38">SUM(O84:O87)</f>
        <v>5545</v>
      </c>
      <c r="P82" s="16">
        <f t="shared" si="38"/>
        <v>0</v>
      </c>
      <c r="Q82" s="16">
        <f>SUM(Q84:Q87)</f>
        <v>0</v>
      </c>
      <c r="R82" s="16">
        <f t="shared" si="38"/>
        <v>0</v>
      </c>
      <c r="S82" s="16">
        <f t="shared" si="38"/>
        <v>0</v>
      </c>
      <c r="T82" s="16">
        <f t="shared" si="38"/>
        <v>166131</v>
      </c>
      <c r="U82" s="16">
        <f t="shared" si="38"/>
        <v>0</v>
      </c>
      <c r="V82" s="16">
        <f t="shared" si="38"/>
        <v>0</v>
      </c>
      <c r="W82" s="18">
        <f t="shared" si="38"/>
        <v>0</v>
      </c>
      <c r="X82" s="419">
        <f t="shared" si="17"/>
        <v>139.57398373983742</v>
      </c>
      <c r="Y82" s="419" t="str">
        <f t="shared" si="18"/>
        <v>-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s="5" customFormat="1" ht="15" customHeight="1" thickBot="1" x14ac:dyDescent="0.3">
      <c r="A83" s="286"/>
      <c r="B83" s="99" t="s">
        <v>327</v>
      </c>
      <c r="C83" s="108">
        <v>66200</v>
      </c>
      <c r="D83" s="109">
        <v>0</v>
      </c>
      <c r="E83" s="109">
        <v>0</v>
      </c>
      <c r="F83" s="109">
        <v>0</v>
      </c>
      <c r="G83" s="109">
        <v>0</v>
      </c>
      <c r="H83" s="109">
        <v>0</v>
      </c>
      <c r="I83" s="109">
        <v>66200</v>
      </c>
      <c r="J83" s="109">
        <v>0</v>
      </c>
      <c r="K83" s="109">
        <v>0</v>
      </c>
      <c r="L83" s="110">
        <v>0</v>
      </c>
      <c r="M83" s="214"/>
      <c r="N83" s="108">
        <f>N81-N82</f>
        <v>45638</v>
      </c>
      <c r="O83" s="109">
        <f t="shared" ref="O83:W83" si="39">O81-O82</f>
        <v>9845</v>
      </c>
      <c r="P83" s="109">
        <f t="shared" si="39"/>
        <v>0</v>
      </c>
      <c r="Q83" s="109">
        <f>Q81-Q82</f>
        <v>0</v>
      </c>
      <c r="R83" s="109">
        <f t="shared" si="39"/>
        <v>0</v>
      </c>
      <c r="S83" s="109">
        <f>S81-S82</f>
        <v>0</v>
      </c>
      <c r="T83" s="109">
        <f t="shared" si="39"/>
        <v>35793</v>
      </c>
      <c r="U83" s="109">
        <f>U81-U82</f>
        <v>0</v>
      </c>
      <c r="V83" s="109">
        <f>V81-V82</f>
        <v>0</v>
      </c>
      <c r="W83" s="110">
        <f t="shared" si="39"/>
        <v>0</v>
      </c>
      <c r="X83" s="419">
        <f t="shared" si="17"/>
        <v>68.939577039274923</v>
      </c>
      <c r="Y83" s="419" t="str">
        <f t="shared" si="18"/>
        <v>-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s="26" customFormat="1" ht="15.75" customHeight="1" x14ac:dyDescent="0.2">
      <c r="A84" s="293">
        <v>1</v>
      </c>
      <c r="B84" s="96" t="s">
        <v>15</v>
      </c>
      <c r="C84" s="256">
        <v>0</v>
      </c>
      <c r="D84" s="97"/>
      <c r="E84" s="97"/>
      <c r="F84" s="97"/>
      <c r="G84" s="97"/>
      <c r="H84" s="97"/>
      <c r="I84" s="97"/>
      <c r="J84" s="97"/>
      <c r="K84" s="97"/>
      <c r="L84" s="98"/>
      <c r="M84" s="214"/>
      <c r="N84" s="256">
        <f t="shared" si="24"/>
        <v>16417</v>
      </c>
      <c r="O84" s="97"/>
      <c r="P84" s="97"/>
      <c r="Q84" s="97"/>
      <c r="R84" s="97"/>
      <c r="S84" s="97"/>
      <c r="T84" s="97">
        <v>16417</v>
      </c>
      <c r="U84" s="97"/>
      <c r="V84" s="97"/>
      <c r="W84" s="98"/>
      <c r="X84" s="419" t="str">
        <f t="shared" si="17"/>
        <v>-</v>
      </c>
      <c r="Y84" s="419" t="str">
        <f t="shared" si="18"/>
        <v>-</v>
      </c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</row>
    <row r="85" spans="1:42" s="26" customFormat="1" ht="14.25" x14ac:dyDescent="0.2">
      <c r="A85" s="294">
        <v>2</v>
      </c>
      <c r="B85" s="24" t="s">
        <v>0</v>
      </c>
      <c r="C85" s="63">
        <v>0</v>
      </c>
      <c r="D85" s="44"/>
      <c r="E85" s="44"/>
      <c r="F85" s="44"/>
      <c r="G85" s="44"/>
      <c r="H85" s="44"/>
      <c r="I85" s="44"/>
      <c r="J85" s="44"/>
      <c r="K85" s="44"/>
      <c r="L85" s="46"/>
      <c r="M85" s="214"/>
      <c r="N85" s="63">
        <f t="shared" si="24"/>
        <v>2643</v>
      </c>
      <c r="O85" s="44"/>
      <c r="P85" s="44"/>
      <c r="Q85" s="44"/>
      <c r="R85" s="44"/>
      <c r="S85" s="44"/>
      <c r="T85" s="44">
        <v>2643</v>
      </c>
      <c r="U85" s="44"/>
      <c r="V85" s="44"/>
      <c r="W85" s="46"/>
      <c r="X85" s="419" t="str">
        <f t="shared" si="17"/>
        <v>-</v>
      </c>
      <c r="Y85" s="419" t="str">
        <f t="shared" si="18"/>
        <v>-</v>
      </c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</row>
    <row r="86" spans="1:42" s="26" customFormat="1" ht="14.25" x14ac:dyDescent="0.2">
      <c r="A86" s="294">
        <v>3</v>
      </c>
      <c r="B86" s="24" t="s">
        <v>1</v>
      </c>
      <c r="C86" s="63">
        <v>0</v>
      </c>
      <c r="D86" s="79"/>
      <c r="E86" s="79"/>
      <c r="F86" s="79"/>
      <c r="G86" s="79"/>
      <c r="H86" s="79"/>
      <c r="I86" s="44"/>
      <c r="J86" s="44"/>
      <c r="K86" s="44"/>
      <c r="L86" s="44"/>
      <c r="M86" s="214"/>
      <c r="N86" s="63">
        <f t="shared" si="24"/>
        <v>0</v>
      </c>
      <c r="O86" s="79"/>
      <c r="P86" s="79"/>
      <c r="Q86" s="79"/>
      <c r="R86" s="79"/>
      <c r="S86" s="79"/>
      <c r="T86" s="44"/>
      <c r="U86" s="44"/>
      <c r="V86" s="44"/>
      <c r="W86" s="44"/>
      <c r="X86" s="419" t="str">
        <f t="shared" si="17"/>
        <v>-</v>
      </c>
      <c r="Y86" s="419" t="str">
        <f t="shared" si="18"/>
        <v>-</v>
      </c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</row>
    <row r="87" spans="1:42" s="26" customFormat="1" ht="15" thickBot="1" x14ac:dyDescent="0.25">
      <c r="A87" s="295">
        <v>4</v>
      </c>
      <c r="B87" s="323" t="s">
        <v>9</v>
      </c>
      <c r="C87" s="255">
        <v>123000</v>
      </c>
      <c r="D87" s="104"/>
      <c r="E87" s="104"/>
      <c r="F87" s="104"/>
      <c r="G87" s="104"/>
      <c r="H87" s="104"/>
      <c r="I87" s="104">
        <v>123000</v>
      </c>
      <c r="J87" s="104"/>
      <c r="K87" s="104"/>
      <c r="L87" s="105"/>
      <c r="M87" s="214"/>
      <c r="N87" s="255">
        <f t="shared" si="24"/>
        <v>152616</v>
      </c>
      <c r="O87" s="104">
        <v>5545</v>
      </c>
      <c r="P87" s="104"/>
      <c r="Q87" s="104"/>
      <c r="R87" s="104"/>
      <c r="S87" s="104"/>
      <c r="T87" s="104">
        <f>144654+2417</f>
        <v>147071</v>
      </c>
      <c r="U87" s="104"/>
      <c r="V87" s="104"/>
      <c r="W87" s="105"/>
      <c r="X87" s="419">
        <f t="shared" si="17"/>
        <v>124.0780487804878</v>
      </c>
      <c r="Y87" s="419" t="str">
        <f t="shared" si="18"/>
        <v>-</v>
      </c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</row>
    <row r="88" spans="1:42" s="5" customFormat="1" ht="15" x14ac:dyDescent="0.25">
      <c r="A88" s="296" t="s">
        <v>24</v>
      </c>
      <c r="B88" s="230" t="s">
        <v>186</v>
      </c>
      <c r="C88" s="271">
        <v>6470</v>
      </c>
      <c r="D88" s="271">
        <v>1470</v>
      </c>
      <c r="E88" s="271">
        <v>0</v>
      </c>
      <c r="F88" s="271">
        <v>0</v>
      </c>
      <c r="G88" s="271">
        <v>0</v>
      </c>
      <c r="H88" s="271">
        <v>0</v>
      </c>
      <c r="I88" s="271">
        <v>0</v>
      </c>
      <c r="J88" s="271">
        <v>0</v>
      </c>
      <c r="K88" s="271">
        <v>5000</v>
      </c>
      <c r="L88" s="272">
        <v>0</v>
      </c>
      <c r="M88" s="214"/>
      <c r="N88" s="271">
        <f t="shared" ref="N88:N140" si="40">SUM(O88:W88)</f>
        <v>4588</v>
      </c>
      <c r="O88" s="271">
        <f t="shared" ref="O88:W88" si="41">O91+O98</f>
        <v>1518</v>
      </c>
      <c r="P88" s="271">
        <f t="shared" si="41"/>
        <v>0</v>
      </c>
      <c r="Q88" s="271">
        <f t="shared" si="41"/>
        <v>0</v>
      </c>
      <c r="R88" s="271">
        <f t="shared" si="41"/>
        <v>0</v>
      </c>
      <c r="S88" s="271">
        <f t="shared" si="41"/>
        <v>0</v>
      </c>
      <c r="T88" s="271">
        <f t="shared" si="41"/>
        <v>2950</v>
      </c>
      <c r="U88" s="271">
        <f t="shared" si="41"/>
        <v>0</v>
      </c>
      <c r="V88" s="271">
        <f t="shared" si="41"/>
        <v>120</v>
      </c>
      <c r="W88" s="272">
        <f t="shared" si="41"/>
        <v>0</v>
      </c>
      <c r="X88" s="419">
        <f t="shared" si="17"/>
        <v>70.91190108191654</v>
      </c>
      <c r="Y88" s="419">
        <f t="shared" si="18"/>
        <v>103.26530612244898</v>
      </c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s="5" customFormat="1" ht="15" x14ac:dyDescent="0.25">
      <c r="A89" s="297"/>
      <c r="B89" s="6" t="s">
        <v>187</v>
      </c>
      <c r="C89" s="144">
        <v>6470</v>
      </c>
      <c r="D89" s="29">
        <v>1470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5000</v>
      </c>
      <c r="L89" s="30">
        <v>0</v>
      </c>
      <c r="M89" s="214"/>
      <c r="N89" s="144">
        <f t="shared" si="40"/>
        <v>3968</v>
      </c>
      <c r="O89" s="29">
        <f t="shared" ref="O89:W89" si="42">O92+O99</f>
        <v>1157</v>
      </c>
      <c r="P89" s="29">
        <f t="shared" si="42"/>
        <v>0</v>
      </c>
      <c r="Q89" s="29">
        <f t="shared" si="42"/>
        <v>0</v>
      </c>
      <c r="R89" s="29">
        <f t="shared" si="42"/>
        <v>0</v>
      </c>
      <c r="S89" s="29">
        <f t="shared" si="42"/>
        <v>0</v>
      </c>
      <c r="T89" s="29">
        <f t="shared" si="42"/>
        <v>2691</v>
      </c>
      <c r="U89" s="29">
        <f t="shared" si="42"/>
        <v>0</v>
      </c>
      <c r="V89" s="29">
        <f t="shared" si="42"/>
        <v>120</v>
      </c>
      <c r="W89" s="30">
        <f t="shared" si="42"/>
        <v>0</v>
      </c>
      <c r="X89" s="419">
        <f t="shared" si="17"/>
        <v>61.329211746522418</v>
      </c>
      <c r="Y89" s="419">
        <f t="shared" si="18"/>
        <v>78.707482993197274</v>
      </c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s="5" customFormat="1" ht="15.75" thickBot="1" x14ac:dyDescent="0.3">
      <c r="A90" s="298"/>
      <c r="B90" s="90" t="s">
        <v>188</v>
      </c>
      <c r="C90" s="107">
        <v>0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3">
        <v>0</v>
      </c>
      <c r="M90" s="214"/>
      <c r="N90" s="107">
        <f>N88-N89</f>
        <v>620</v>
      </c>
      <c r="O90" s="112">
        <f t="shared" ref="O90:W90" si="43">O88-O89</f>
        <v>361</v>
      </c>
      <c r="P90" s="112">
        <f t="shared" si="43"/>
        <v>0</v>
      </c>
      <c r="Q90" s="112">
        <f>Q88-Q89</f>
        <v>0</v>
      </c>
      <c r="R90" s="112">
        <f t="shared" si="43"/>
        <v>0</v>
      </c>
      <c r="S90" s="112">
        <f>S88-S89</f>
        <v>0</v>
      </c>
      <c r="T90" s="112">
        <f t="shared" si="43"/>
        <v>259</v>
      </c>
      <c r="U90" s="112">
        <f>U88-U89</f>
        <v>0</v>
      </c>
      <c r="V90" s="112">
        <f>V88-V89</f>
        <v>0</v>
      </c>
      <c r="W90" s="113">
        <f t="shared" si="43"/>
        <v>0</v>
      </c>
      <c r="X90" s="419" t="str">
        <f t="shared" si="17"/>
        <v>-</v>
      </c>
      <c r="Y90" s="419" t="str">
        <f t="shared" si="18"/>
        <v>-</v>
      </c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s="5" customFormat="1" ht="15" x14ac:dyDescent="0.25">
      <c r="A91" s="285" t="s">
        <v>168</v>
      </c>
      <c r="B91" s="106" t="s">
        <v>211</v>
      </c>
      <c r="C91" s="85">
        <v>0</v>
      </c>
      <c r="D91" s="85"/>
      <c r="E91" s="85"/>
      <c r="F91" s="85"/>
      <c r="G91" s="85"/>
      <c r="H91" s="85"/>
      <c r="I91" s="85"/>
      <c r="J91" s="85"/>
      <c r="K91" s="85"/>
      <c r="L91" s="376"/>
      <c r="M91" s="214"/>
      <c r="N91" s="85">
        <f t="shared" si="40"/>
        <v>0</v>
      </c>
      <c r="O91" s="85"/>
      <c r="P91" s="85"/>
      <c r="Q91" s="85"/>
      <c r="R91" s="85"/>
      <c r="S91" s="85"/>
      <c r="T91" s="85"/>
      <c r="U91" s="85"/>
      <c r="V91" s="85"/>
      <c r="W91" s="376"/>
      <c r="X91" s="419" t="str">
        <f t="shared" si="17"/>
        <v>-</v>
      </c>
      <c r="Y91" s="419" t="str">
        <f t="shared" si="18"/>
        <v>-</v>
      </c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s="5" customFormat="1" ht="15" x14ac:dyDescent="0.25">
      <c r="A92" s="285"/>
      <c r="B92" s="106" t="s">
        <v>212</v>
      </c>
      <c r="C92" s="85">
        <v>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11">
        <v>0</v>
      </c>
      <c r="M92" s="214"/>
      <c r="N92" s="85">
        <f t="shared" si="40"/>
        <v>0</v>
      </c>
      <c r="O92" s="100">
        <f t="shared" ref="O92:W92" si="44">SUM(O94:O97)</f>
        <v>0</v>
      </c>
      <c r="P92" s="100">
        <f t="shared" si="44"/>
        <v>0</v>
      </c>
      <c r="Q92" s="100">
        <f t="shared" si="44"/>
        <v>0</v>
      </c>
      <c r="R92" s="100">
        <f t="shared" si="44"/>
        <v>0</v>
      </c>
      <c r="S92" s="100">
        <f t="shared" si="44"/>
        <v>0</v>
      </c>
      <c r="T92" s="100">
        <f t="shared" si="44"/>
        <v>0</v>
      </c>
      <c r="U92" s="100">
        <f t="shared" si="44"/>
        <v>0</v>
      </c>
      <c r="V92" s="100">
        <f t="shared" si="44"/>
        <v>0</v>
      </c>
      <c r="W92" s="111">
        <f t="shared" si="44"/>
        <v>0</v>
      </c>
      <c r="X92" s="419" t="str">
        <f t="shared" si="17"/>
        <v>-</v>
      </c>
      <c r="Y92" s="419" t="str">
        <f t="shared" si="18"/>
        <v>-</v>
      </c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s="5" customFormat="1" ht="15.75" thickBot="1" x14ac:dyDescent="0.3">
      <c r="A93" s="286"/>
      <c r="B93" s="145" t="s">
        <v>213</v>
      </c>
      <c r="C93" s="257">
        <v>0</v>
      </c>
      <c r="D93" s="146">
        <v>0</v>
      </c>
      <c r="E93" s="146">
        <v>0</v>
      </c>
      <c r="F93" s="146">
        <v>0</v>
      </c>
      <c r="G93" s="146">
        <v>0</v>
      </c>
      <c r="H93" s="146">
        <v>0</v>
      </c>
      <c r="I93" s="146">
        <v>0</v>
      </c>
      <c r="J93" s="146">
        <v>0</v>
      </c>
      <c r="K93" s="146">
        <v>0</v>
      </c>
      <c r="L93" s="147">
        <v>0</v>
      </c>
      <c r="M93" s="214"/>
      <c r="N93" s="257">
        <f>N91-N92</f>
        <v>0</v>
      </c>
      <c r="O93" s="146">
        <f t="shared" ref="O93:W93" si="45">O91-O92</f>
        <v>0</v>
      </c>
      <c r="P93" s="146">
        <f t="shared" si="45"/>
        <v>0</v>
      </c>
      <c r="Q93" s="146">
        <f>Q91-Q92</f>
        <v>0</v>
      </c>
      <c r="R93" s="146">
        <f t="shared" si="45"/>
        <v>0</v>
      </c>
      <c r="S93" s="146">
        <f>S91-S92</f>
        <v>0</v>
      </c>
      <c r="T93" s="146">
        <f t="shared" si="45"/>
        <v>0</v>
      </c>
      <c r="U93" s="146">
        <f>U91-U92</f>
        <v>0</v>
      </c>
      <c r="V93" s="146">
        <f>V91-V92</f>
        <v>0</v>
      </c>
      <c r="W93" s="147">
        <f t="shared" si="45"/>
        <v>0</v>
      </c>
      <c r="X93" s="419" t="str">
        <f t="shared" ref="X93:X154" si="46">IF(C93=0,"-",N93/C93*100)</f>
        <v>-</v>
      </c>
      <c r="Y93" s="419" t="str">
        <f t="shared" ref="Y93:Y154" si="47">IF(D93=0,"-",O93/D93*100)</f>
        <v>-</v>
      </c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s="26" customFormat="1" ht="15.75" customHeight="1" x14ac:dyDescent="0.2">
      <c r="A94" s="293">
        <v>1</v>
      </c>
      <c r="B94" s="96" t="s">
        <v>15</v>
      </c>
      <c r="C94" s="256">
        <v>0</v>
      </c>
      <c r="D94" s="155"/>
      <c r="E94" s="155"/>
      <c r="F94" s="155"/>
      <c r="G94" s="155"/>
      <c r="H94" s="155"/>
      <c r="I94" s="155"/>
      <c r="J94" s="155"/>
      <c r="K94" s="155"/>
      <c r="L94" s="156"/>
      <c r="M94" s="214"/>
      <c r="N94" s="256">
        <f t="shared" si="40"/>
        <v>0</v>
      </c>
      <c r="O94" s="155"/>
      <c r="P94" s="155"/>
      <c r="Q94" s="155"/>
      <c r="R94" s="155"/>
      <c r="S94" s="155"/>
      <c r="T94" s="155"/>
      <c r="U94" s="155"/>
      <c r="V94" s="155"/>
      <c r="W94" s="156"/>
      <c r="X94" s="419" t="str">
        <f t="shared" si="46"/>
        <v>-</v>
      </c>
      <c r="Y94" s="419" t="str">
        <f t="shared" si="47"/>
        <v>-</v>
      </c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</row>
    <row r="95" spans="1:42" s="26" customFormat="1" ht="14.25" x14ac:dyDescent="0.2">
      <c r="A95" s="294">
        <v>2</v>
      </c>
      <c r="B95" s="24" t="s">
        <v>0</v>
      </c>
      <c r="C95" s="63">
        <v>0</v>
      </c>
      <c r="D95" s="151"/>
      <c r="E95" s="151"/>
      <c r="F95" s="151"/>
      <c r="G95" s="151"/>
      <c r="H95" s="151"/>
      <c r="I95" s="151"/>
      <c r="J95" s="151"/>
      <c r="K95" s="151"/>
      <c r="L95" s="152"/>
      <c r="M95" s="214"/>
      <c r="N95" s="63">
        <f t="shared" si="40"/>
        <v>0</v>
      </c>
      <c r="O95" s="151"/>
      <c r="P95" s="151"/>
      <c r="Q95" s="151"/>
      <c r="R95" s="151"/>
      <c r="S95" s="151"/>
      <c r="T95" s="151"/>
      <c r="U95" s="151"/>
      <c r="V95" s="151"/>
      <c r="W95" s="152"/>
      <c r="X95" s="419" t="str">
        <f t="shared" si="46"/>
        <v>-</v>
      </c>
      <c r="Y95" s="419" t="str">
        <f t="shared" si="47"/>
        <v>-</v>
      </c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</row>
    <row r="96" spans="1:42" s="26" customFormat="1" ht="14.25" x14ac:dyDescent="0.2">
      <c r="A96" s="294">
        <v>3</v>
      </c>
      <c r="B96" s="24" t="s">
        <v>1</v>
      </c>
      <c r="C96" s="63">
        <v>0</v>
      </c>
      <c r="D96" s="151"/>
      <c r="E96" s="151"/>
      <c r="F96" s="151"/>
      <c r="G96" s="151"/>
      <c r="H96" s="151"/>
      <c r="I96" s="151"/>
      <c r="J96" s="151"/>
      <c r="K96" s="151"/>
      <c r="L96" s="151"/>
      <c r="M96" s="214"/>
      <c r="N96" s="63">
        <f t="shared" si="40"/>
        <v>0</v>
      </c>
      <c r="O96" s="151"/>
      <c r="P96" s="151"/>
      <c r="Q96" s="151"/>
      <c r="R96" s="151"/>
      <c r="S96" s="151"/>
      <c r="T96" s="151"/>
      <c r="U96" s="151"/>
      <c r="V96" s="151"/>
      <c r="W96" s="151"/>
      <c r="X96" s="419" t="str">
        <f t="shared" si="46"/>
        <v>-</v>
      </c>
      <c r="Y96" s="419" t="str">
        <f t="shared" si="47"/>
        <v>-</v>
      </c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</row>
    <row r="97" spans="1:42" s="26" customFormat="1" ht="15" thickBot="1" x14ac:dyDescent="0.25">
      <c r="A97" s="295">
        <v>4</v>
      </c>
      <c r="B97" s="323" t="s">
        <v>9</v>
      </c>
      <c r="C97" s="255">
        <v>0</v>
      </c>
      <c r="D97" s="374"/>
      <c r="E97" s="374"/>
      <c r="F97" s="374"/>
      <c r="G97" s="374"/>
      <c r="H97" s="374"/>
      <c r="I97" s="260"/>
      <c r="J97" s="260"/>
      <c r="K97" s="260"/>
      <c r="L97" s="375"/>
      <c r="M97" s="214"/>
      <c r="N97" s="255">
        <f t="shared" si="40"/>
        <v>0</v>
      </c>
      <c r="O97" s="374"/>
      <c r="P97" s="374"/>
      <c r="Q97" s="374"/>
      <c r="R97" s="374"/>
      <c r="S97" s="374"/>
      <c r="T97" s="260"/>
      <c r="U97" s="260"/>
      <c r="V97" s="260"/>
      <c r="W97" s="375"/>
      <c r="X97" s="419" t="str">
        <f t="shared" si="46"/>
        <v>-</v>
      </c>
      <c r="Y97" s="419" t="str">
        <f t="shared" si="47"/>
        <v>-</v>
      </c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</row>
    <row r="98" spans="1:42" s="5" customFormat="1" ht="15" customHeight="1" x14ac:dyDescent="0.25">
      <c r="A98" s="285" t="s">
        <v>169</v>
      </c>
      <c r="B98" s="106" t="s">
        <v>214</v>
      </c>
      <c r="C98" s="85">
        <v>6470</v>
      </c>
      <c r="D98" s="101">
        <v>1470</v>
      </c>
      <c r="E98" s="101"/>
      <c r="F98" s="101"/>
      <c r="G98" s="101"/>
      <c r="H98" s="101"/>
      <c r="I98" s="101"/>
      <c r="J98" s="101"/>
      <c r="K98" s="101">
        <v>5000</v>
      </c>
      <c r="L98" s="102"/>
      <c r="M98" s="214"/>
      <c r="N98" s="85">
        <f t="shared" si="40"/>
        <v>4588</v>
      </c>
      <c r="O98" s="101">
        <v>1518</v>
      </c>
      <c r="P98" s="101"/>
      <c r="Q98" s="101"/>
      <c r="R98" s="101"/>
      <c r="S98" s="101"/>
      <c r="T98" s="101">
        <f>3070-120</f>
        <v>2950</v>
      </c>
      <c r="U98" s="101"/>
      <c r="V98" s="101">
        <v>120</v>
      </c>
      <c r="W98" s="102"/>
      <c r="X98" s="419">
        <f t="shared" si="46"/>
        <v>70.91190108191654</v>
      </c>
      <c r="Y98" s="419">
        <f t="shared" si="47"/>
        <v>103.26530612244898</v>
      </c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s="5" customFormat="1" ht="15" customHeight="1" x14ac:dyDescent="0.25">
      <c r="A99" s="291"/>
      <c r="B99" s="27" t="s">
        <v>215</v>
      </c>
      <c r="C99" s="73">
        <v>6470</v>
      </c>
      <c r="D99" s="16">
        <v>1470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5000</v>
      </c>
      <c r="L99" s="18">
        <v>0</v>
      </c>
      <c r="M99" s="214"/>
      <c r="N99" s="73">
        <f t="shared" si="40"/>
        <v>3968</v>
      </c>
      <c r="O99" s="16">
        <f t="shared" ref="O99:W99" si="48">SUM(O101:O105)</f>
        <v>1157</v>
      </c>
      <c r="P99" s="16">
        <f t="shared" si="48"/>
        <v>0</v>
      </c>
      <c r="Q99" s="16">
        <f t="shared" si="48"/>
        <v>0</v>
      </c>
      <c r="R99" s="16">
        <f t="shared" si="48"/>
        <v>0</v>
      </c>
      <c r="S99" s="16">
        <f t="shared" si="48"/>
        <v>0</v>
      </c>
      <c r="T99" s="16">
        <f t="shared" si="48"/>
        <v>2691</v>
      </c>
      <c r="U99" s="16">
        <f>SUM(U101:U105)</f>
        <v>0</v>
      </c>
      <c r="V99" s="16">
        <f t="shared" si="48"/>
        <v>120</v>
      </c>
      <c r="W99" s="18">
        <f t="shared" si="48"/>
        <v>0</v>
      </c>
      <c r="X99" s="419">
        <f t="shared" si="46"/>
        <v>61.329211746522418</v>
      </c>
      <c r="Y99" s="419">
        <f t="shared" si="47"/>
        <v>78.707482993197274</v>
      </c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s="5" customFormat="1" ht="15" customHeight="1" thickBot="1" x14ac:dyDescent="0.3">
      <c r="A100" s="286"/>
      <c r="B100" s="149" t="s">
        <v>216</v>
      </c>
      <c r="C100" s="257">
        <v>0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147">
        <v>0</v>
      </c>
      <c r="M100" s="214"/>
      <c r="N100" s="257">
        <f>N98-N99</f>
        <v>620</v>
      </c>
      <c r="O100" s="146">
        <f t="shared" ref="O100:W100" si="49">O98-O99</f>
        <v>361</v>
      </c>
      <c r="P100" s="146">
        <f t="shared" si="49"/>
        <v>0</v>
      </c>
      <c r="Q100" s="146">
        <f>Q98-Q99</f>
        <v>0</v>
      </c>
      <c r="R100" s="146">
        <f t="shared" si="49"/>
        <v>0</v>
      </c>
      <c r="S100" s="146">
        <f>S98-S99</f>
        <v>0</v>
      </c>
      <c r="T100" s="146">
        <f t="shared" si="49"/>
        <v>259</v>
      </c>
      <c r="U100" s="146">
        <f>U98-U99</f>
        <v>0</v>
      </c>
      <c r="V100" s="146">
        <f>V98-V99</f>
        <v>0</v>
      </c>
      <c r="W100" s="147">
        <f t="shared" si="49"/>
        <v>0</v>
      </c>
      <c r="X100" s="419" t="str">
        <f t="shared" si="46"/>
        <v>-</v>
      </c>
      <c r="Y100" s="419" t="str">
        <f t="shared" si="47"/>
        <v>-</v>
      </c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s="26" customFormat="1" ht="15.75" customHeight="1" x14ac:dyDescent="0.2">
      <c r="A101" s="294" t="s">
        <v>297</v>
      </c>
      <c r="B101" s="24" t="s">
        <v>257</v>
      </c>
      <c r="C101" s="256">
        <v>0</v>
      </c>
      <c r="D101" s="97"/>
      <c r="E101" s="97"/>
      <c r="F101" s="97"/>
      <c r="G101" s="97"/>
      <c r="H101" s="97"/>
      <c r="I101" s="97"/>
      <c r="J101" s="97"/>
      <c r="K101" s="97"/>
      <c r="L101" s="98"/>
      <c r="M101" s="214"/>
      <c r="N101" s="256">
        <f t="shared" si="40"/>
        <v>0</v>
      </c>
      <c r="O101" s="97"/>
      <c r="P101" s="97"/>
      <c r="Q101" s="97"/>
      <c r="R101" s="97"/>
      <c r="S101" s="97"/>
      <c r="T101" s="97"/>
      <c r="U101" s="97"/>
      <c r="V101" s="97"/>
      <c r="W101" s="98"/>
      <c r="X101" s="419" t="str">
        <f t="shared" si="46"/>
        <v>-</v>
      </c>
      <c r="Y101" s="419" t="str">
        <f t="shared" si="47"/>
        <v>-</v>
      </c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</row>
    <row r="102" spans="1:42" s="26" customFormat="1" ht="15.75" customHeight="1" x14ac:dyDescent="0.2">
      <c r="A102" s="299" t="s">
        <v>298</v>
      </c>
      <c r="B102" s="24" t="s">
        <v>258</v>
      </c>
      <c r="C102" s="256">
        <v>0</v>
      </c>
      <c r="D102" s="97"/>
      <c r="E102" s="97"/>
      <c r="F102" s="97"/>
      <c r="G102" s="97"/>
      <c r="H102" s="97"/>
      <c r="I102" s="97"/>
      <c r="J102" s="97"/>
      <c r="K102" s="97"/>
      <c r="L102" s="98"/>
      <c r="M102" s="214"/>
      <c r="N102" s="256">
        <f t="shared" si="40"/>
        <v>0</v>
      </c>
      <c r="O102" s="97"/>
      <c r="P102" s="97"/>
      <c r="Q102" s="97"/>
      <c r="R102" s="97"/>
      <c r="S102" s="97"/>
      <c r="T102" s="97"/>
      <c r="U102" s="97"/>
      <c r="V102" s="97"/>
      <c r="W102" s="98"/>
      <c r="X102" s="419" t="str">
        <f t="shared" si="46"/>
        <v>-</v>
      </c>
      <c r="Y102" s="419" t="str">
        <f t="shared" si="47"/>
        <v>-</v>
      </c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</row>
    <row r="103" spans="1:42" s="26" customFormat="1" ht="15.75" customHeight="1" x14ac:dyDescent="0.2">
      <c r="A103" s="299" t="s">
        <v>300</v>
      </c>
      <c r="B103" s="24" t="s">
        <v>259</v>
      </c>
      <c r="C103" s="256">
        <v>0</v>
      </c>
      <c r="D103" s="97"/>
      <c r="E103" s="97"/>
      <c r="F103" s="97"/>
      <c r="G103" s="97"/>
      <c r="H103" s="97"/>
      <c r="I103" s="97"/>
      <c r="J103" s="97"/>
      <c r="K103" s="97"/>
      <c r="L103" s="98"/>
      <c r="M103" s="214"/>
      <c r="N103" s="256">
        <f t="shared" si="40"/>
        <v>0</v>
      </c>
      <c r="O103" s="97"/>
      <c r="P103" s="97"/>
      <c r="Q103" s="97"/>
      <c r="R103" s="97"/>
      <c r="S103" s="97"/>
      <c r="T103" s="97"/>
      <c r="U103" s="97"/>
      <c r="V103" s="97"/>
      <c r="W103" s="98"/>
      <c r="X103" s="419" t="str">
        <f t="shared" si="46"/>
        <v>-</v>
      </c>
      <c r="Y103" s="419" t="str">
        <f t="shared" si="47"/>
        <v>-</v>
      </c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</row>
    <row r="104" spans="1:42" s="26" customFormat="1" ht="15.75" customHeight="1" x14ac:dyDescent="0.2">
      <c r="A104" s="299" t="s">
        <v>299</v>
      </c>
      <c r="B104" s="24" t="s">
        <v>260</v>
      </c>
      <c r="C104" s="256">
        <v>0</v>
      </c>
      <c r="D104" s="97"/>
      <c r="E104" s="97"/>
      <c r="F104" s="97"/>
      <c r="G104" s="97"/>
      <c r="H104" s="97"/>
      <c r="I104" s="97"/>
      <c r="J104" s="97"/>
      <c r="K104" s="97"/>
      <c r="L104" s="98"/>
      <c r="M104" s="214"/>
      <c r="N104" s="256">
        <f t="shared" si="40"/>
        <v>0</v>
      </c>
      <c r="O104" s="97"/>
      <c r="P104" s="97"/>
      <c r="Q104" s="97"/>
      <c r="R104" s="97"/>
      <c r="S104" s="97"/>
      <c r="T104" s="97"/>
      <c r="U104" s="97"/>
      <c r="V104" s="97"/>
      <c r="W104" s="98"/>
      <c r="X104" s="419" t="str">
        <f t="shared" si="46"/>
        <v>-</v>
      </c>
      <c r="Y104" s="419" t="str">
        <f t="shared" si="47"/>
        <v>-</v>
      </c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</row>
    <row r="105" spans="1:42" s="26" customFormat="1" ht="15" thickBot="1" x14ac:dyDescent="0.25">
      <c r="A105" s="295" t="s">
        <v>331</v>
      </c>
      <c r="B105" s="103" t="s">
        <v>319</v>
      </c>
      <c r="C105" s="258">
        <v>6470</v>
      </c>
      <c r="D105" s="104">
        <v>1470</v>
      </c>
      <c r="E105" s="104"/>
      <c r="F105" s="104"/>
      <c r="G105" s="104"/>
      <c r="H105" s="104"/>
      <c r="I105" s="104"/>
      <c r="J105" s="104"/>
      <c r="K105" s="104">
        <v>5000</v>
      </c>
      <c r="L105" s="105"/>
      <c r="M105" s="214"/>
      <c r="N105" s="255">
        <f t="shared" si="40"/>
        <v>3968</v>
      </c>
      <c r="O105" s="104">
        <v>1157</v>
      </c>
      <c r="P105" s="104"/>
      <c r="Q105" s="104"/>
      <c r="R105" s="104"/>
      <c r="S105" s="104"/>
      <c r="T105" s="104">
        <f>2811-120</f>
        <v>2691</v>
      </c>
      <c r="U105" s="104"/>
      <c r="V105" s="104">
        <v>120</v>
      </c>
      <c r="W105" s="105"/>
      <c r="X105" s="419">
        <f t="shared" si="46"/>
        <v>61.329211746522418</v>
      </c>
      <c r="Y105" s="419">
        <f t="shared" si="47"/>
        <v>78.707482993197274</v>
      </c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</row>
    <row r="106" spans="1:42" s="5" customFormat="1" ht="15" x14ac:dyDescent="0.25">
      <c r="A106" s="300" t="s">
        <v>25</v>
      </c>
      <c r="B106" s="6" t="s">
        <v>189</v>
      </c>
      <c r="C106" s="259">
        <v>15000</v>
      </c>
      <c r="D106" s="231"/>
      <c r="E106" s="231"/>
      <c r="F106" s="231"/>
      <c r="G106" s="231"/>
      <c r="H106" s="231"/>
      <c r="I106" s="231"/>
      <c r="J106" s="231">
        <v>15000</v>
      </c>
      <c r="K106" s="231"/>
      <c r="L106" s="232"/>
      <c r="M106" s="214"/>
      <c r="N106" s="259">
        <f t="shared" si="40"/>
        <v>10146</v>
      </c>
      <c r="O106" s="231"/>
      <c r="P106" s="231"/>
      <c r="Q106" s="231"/>
      <c r="R106" s="231"/>
      <c r="S106" s="231">
        <v>5000</v>
      </c>
      <c r="T106" s="231"/>
      <c r="U106" s="231">
        <v>5146</v>
      </c>
      <c r="V106" s="231"/>
      <c r="W106" s="232"/>
      <c r="X106" s="419">
        <f t="shared" si="46"/>
        <v>67.64</v>
      </c>
      <c r="Y106" s="419" t="str">
        <f t="shared" si="47"/>
        <v>-</v>
      </c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s="5" customFormat="1" ht="15" x14ac:dyDescent="0.25">
      <c r="A107" s="300"/>
      <c r="B107" s="6" t="s">
        <v>190</v>
      </c>
      <c r="C107" s="81">
        <v>15000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15000</v>
      </c>
      <c r="K107" s="8">
        <v>0</v>
      </c>
      <c r="L107" s="17">
        <v>0</v>
      </c>
      <c r="M107" s="214"/>
      <c r="N107" s="81">
        <f>SUM(O107:W107)</f>
        <v>45729</v>
      </c>
      <c r="O107" s="8">
        <f t="shared" ref="O107:W107" si="50">SUM(O109:O112)</f>
        <v>0</v>
      </c>
      <c r="P107" s="8">
        <f t="shared" si="50"/>
        <v>0</v>
      </c>
      <c r="Q107" s="8">
        <f t="shared" si="50"/>
        <v>0</v>
      </c>
      <c r="R107" s="8">
        <f t="shared" si="50"/>
        <v>0</v>
      </c>
      <c r="S107" s="8">
        <f t="shared" si="50"/>
        <v>10130</v>
      </c>
      <c r="T107" s="8">
        <f t="shared" si="50"/>
        <v>0</v>
      </c>
      <c r="U107" s="8">
        <f t="shared" si="50"/>
        <v>35599</v>
      </c>
      <c r="V107" s="8">
        <f t="shared" si="50"/>
        <v>0</v>
      </c>
      <c r="W107" s="17">
        <f t="shared" si="50"/>
        <v>0</v>
      </c>
      <c r="X107" s="419">
        <f t="shared" si="46"/>
        <v>304.86</v>
      </c>
      <c r="Y107" s="419" t="str">
        <f t="shared" si="47"/>
        <v>-</v>
      </c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s="5" customFormat="1" ht="15.75" thickBot="1" x14ac:dyDescent="0.3">
      <c r="A108" s="301"/>
      <c r="B108" s="90" t="s">
        <v>191</v>
      </c>
      <c r="C108" s="107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3">
        <v>0</v>
      </c>
      <c r="M108" s="214"/>
      <c r="N108" s="107">
        <f>N106-N107</f>
        <v>-35583</v>
      </c>
      <c r="O108" s="112">
        <f t="shared" ref="O108:W108" si="51">O106-O107</f>
        <v>0</v>
      </c>
      <c r="P108" s="112">
        <f t="shared" si="51"/>
        <v>0</v>
      </c>
      <c r="Q108" s="112">
        <f>Q106-Q107</f>
        <v>0</v>
      </c>
      <c r="R108" s="112">
        <f t="shared" si="51"/>
        <v>0</v>
      </c>
      <c r="S108" s="112">
        <f>S106-S107</f>
        <v>-5130</v>
      </c>
      <c r="T108" s="112">
        <f t="shared" si="51"/>
        <v>0</v>
      </c>
      <c r="U108" s="112">
        <f>U106-U107</f>
        <v>-30453</v>
      </c>
      <c r="V108" s="112">
        <f>V106-V107</f>
        <v>0</v>
      </c>
      <c r="W108" s="113">
        <f t="shared" si="51"/>
        <v>0</v>
      </c>
      <c r="X108" s="419" t="str">
        <f t="shared" si="46"/>
        <v>-</v>
      </c>
      <c r="Y108" s="419" t="str">
        <f t="shared" si="47"/>
        <v>-</v>
      </c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s="26" customFormat="1" ht="15.75" customHeight="1" x14ac:dyDescent="0.2">
      <c r="A109" s="293">
        <v>1</v>
      </c>
      <c r="B109" s="96" t="s">
        <v>15</v>
      </c>
      <c r="C109" s="256">
        <v>0</v>
      </c>
      <c r="D109" s="97"/>
      <c r="E109" s="97"/>
      <c r="F109" s="97"/>
      <c r="G109" s="97"/>
      <c r="H109" s="97"/>
      <c r="I109" s="97"/>
      <c r="J109" s="97"/>
      <c r="K109" s="97"/>
      <c r="L109" s="98"/>
      <c r="M109" s="214"/>
      <c r="N109" s="256">
        <f t="shared" si="40"/>
        <v>4801</v>
      </c>
      <c r="O109" s="97"/>
      <c r="P109" s="97"/>
      <c r="Q109" s="97"/>
      <c r="R109" s="97"/>
      <c r="S109" s="97"/>
      <c r="T109" s="97"/>
      <c r="U109" s="97">
        <v>4801</v>
      </c>
      <c r="V109" s="97"/>
      <c r="W109" s="98"/>
      <c r="X109" s="419" t="str">
        <f t="shared" si="46"/>
        <v>-</v>
      </c>
      <c r="Y109" s="419" t="str">
        <f t="shared" si="47"/>
        <v>-</v>
      </c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</row>
    <row r="110" spans="1:42" s="26" customFormat="1" ht="14.25" x14ac:dyDescent="0.2">
      <c r="A110" s="294">
        <v>2</v>
      </c>
      <c r="B110" s="24" t="s">
        <v>0</v>
      </c>
      <c r="C110" s="63">
        <v>0</v>
      </c>
      <c r="D110" s="44"/>
      <c r="E110" s="44"/>
      <c r="F110" s="44"/>
      <c r="G110" s="44"/>
      <c r="H110" s="44"/>
      <c r="I110" s="44"/>
      <c r="J110" s="44"/>
      <c r="K110" s="44"/>
      <c r="L110" s="44"/>
      <c r="M110" s="214"/>
      <c r="N110" s="63">
        <f t="shared" si="40"/>
        <v>773</v>
      </c>
      <c r="O110" s="44"/>
      <c r="P110" s="44"/>
      <c r="Q110" s="44"/>
      <c r="R110" s="44"/>
      <c r="S110" s="44"/>
      <c r="T110" s="44"/>
      <c r="U110" s="44">
        <v>773</v>
      </c>
      <c r="V110" s="44"/>
      <c r="W110" s="44"/>
      <c r="X110" s="419" t="str">
        <f t="shared" si="46"/>
        <v>-</v>
      </c>
      <c r="Y110" s="419" t="str">
        <f t="shared" si="47"/>
        <v>-</v>
      </c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</row>
    <row r="111" spans="1:42" s="26" customFormat="1" ht="14.25" x14ac:dyDescent="0.2">
      <c r="A111" s="294">
        <v>3</v>
      </c>
      <c r="B111" s="24" t="s">
        <v>1</v>
      </c>
      <c r="C111" s="129">
        <v>0</v>
      </c>
      <c r="D111" s="79"/>
      <c r="E111" s="79"/>
      <c r="F111" s="79"/>
      <c r="G111" s="79"/>
      <c r="H111" s="79"/>
      <c r="I111" s="44"/>
      <c r="J111" s="44"/>
      <c r="K111" s="44"/>
      <c r="L111" s="46"/>
      <c r="M111" s="214"/>
      <c r="N111" s="129">
        <f t="shared" si="40"/>
        <v>0</v>
      </c>
      <c r="O111" s="79"/>
      <c r="P111" s="79"/>
      <c r="Q111" s="79"/>
      <c r="R111" s="79"/>
      <c r="S111" s="79"/>
      <c r="T111" s="44"/>
      <c r="U111" s="44"/>
      <c r="V111" s="44"/>
      <c r="W111" s="46"/>
      <c r="X111" s="419" t="str">
        <f t="shared" si="46"/>
        <v>-</v>
      </c>
      <c r="Y111" s="419" t="str">
        <f t="shared" si="47"/>
        <v>-</v>
      </c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</row>
    <row r="112" spans="1:42" s="26" customFormat="1" ht="15" thickBot="1" x14ac:dyDescent="0.25">
      <c r="A112" s="295">
        <v>4</v>
      </c>
      <c r="B112" s="323" t="s">
        <v>9</v>
      </c>
      <c r="C112" s="255">
        <v>15000</v>
      </c>
      <c r="D112" s="104"/>
      <c r="E112" s="104"/>
      <c r="F112" s="104"/>
      <c r="G112" s="104"/>
      <c r="H112" s="104"/>
      <c r="I112" s="104"/>
      <c r="J112" s="104">
        <v>15000</v>
      </c>
      <c r="K112" s="104"/>
      <c r="L112" s="105"/>
      <c r="M112" s="214"/>
      <c r="N112" s="255">
        <f t="shared" si="40"/>
        <v>40155</v>
      </c>
      <c r="O112" s="104"/>
      <c r="P112" s="104"/>
      <c r="Q112" s="104"/>
      <c r="R112" s="104"/>
      <c r="S112" s="104">
        <v>10130</v>
      </c>
      <c r="T112" s="104"/>
      <c r="U112" s="104">
        <v>30025</v>
      </c>
      <c r="V112" s="104"/>
      <c r="W112" s="105"/>
      <c r="X112" s="419">
        <f t="shared" si="46"/>
        <v>267.7</v>
      </c>
      <c r="Y112" s="419" t="str">
        <f t="shared" si="47"/>
        <v>-</v>
      </c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</row>
    <row r="113" spans="1:42" s="5" customFormat="1" ht="15" x14ac:dyDescent="0.25">
      <c r="A113" s="302" t="s">
        <v>170</v>
      </c>
      <c r="B113" s="230" t="s">
        <v>192</v>
      </c>
      <c r="C113" s="259">
        <v>0</v>
      </c>
      <c r="D113" s="259"/>
      <c r="E113" s="259"/>
      <c r="F113" s="259"/>
      <c r="G113" s="259"/>
      <c r="H113" s="259"/>
      <c r="I113" s="259"/>
      <c r="J113" s="259"/>
      <c r="K113" s="259"/>
      <c r="L113" s="92"/>
      <c r="M113" s="214"/>
      <c r="N113" s="259">
        <f t="shared" si="40"/>
        <v>0</v>
      </c>
      <c r="O113" s="259"/>
      <c r="P113" s="259"/>
      <c r="Q113" s="259"/>
      <c r="R113" s="259"/>
      <c r="S113" s="259"/>
      <c r="T113" s="259"/>
      <c r="U113" s="259"/>
      <c r="V113" s="259"/>
      <c r="W113" s="92"/>
      <c r="X113" s="419" t="str">
        <f t="shared" si="46"/>
        <v>-</v>
      </c>
      <c r="Y113" s="419" t="str">
        <f t="shared" si="47"/>
        <v>-</v>
      </c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s="5" customFormat="1" ht="15" x14ac:dyDescent="0.25">
      <c r="A114" s="300"/>
      <c r="B114" s="6" t="s">
        <v>193</v>
      </c>
      <c r="C114" s="81">
        <v>0</v>
      </c>
      <c r="D114" s="308">
        <v>0</v>
      </c>
      <c r="E114" s="308">
        <v>0</v>
      </c>
      <c r="F114" s="308">
        <v>0</v>
      </c>
      <c r="G114" s="308">
        <v>0</v>
      </c>
      <c r="H114" s="308">
        <v>0</v>
      </c>
      <c r="I114" s="308">
        <v>0</v>
      </c>
      <c r="J114" s="308">
        <v>0</v>
      </c>
      <c r="K114" s="308">
        <v>0</v>
      </c>
      <c r="L114" s="308">
        <v>0</v>
      </c>
      <c r="M114" s="309"/>
      <c r="N114" s="310">
        <f>SUM(O114:W114)</f>
        <v>0</v>
      </c>
      <c r="O114" s="308">
        <f>O116+O121</f>
        <v>0</v>
      </c>
      <c r="P114" s="308">
        <f>P116+P121</f>
        <v>0</v>
      </c>
      <c r="Q114" s="308">
        <f t="shared" ref="Q114:W114" si="52">Q116+Q121</f>
        <v>0</v>
      </c>
      <c r="R114" s="308">
        <f t="shared" si="52"/>
        <v>0</v>
      </c>
      <c r="S114" s="308">
        <f t="shared" si="52"/>
        <v>0</v>
      </c>
      <c r="T114" s="308">
        <f t="shared" si="52"/>
        <v>0</v>
      </c>
      <c r="U114" s="308">
        <f t="shared" si="52"/>
        <v>0</v>
      </c>
      <c r="V114" s="308">
        <f t="shared" si="52"/>
        <v>0</v>
      </c>
      <c r="W114" s="308">
        <f t="shared" si="52"/>
        <v>0</v>
      </c>
      <c r="X114" s="419" t="str">
        <f t="shared" si="46"/>
        <v>-</v>
      </c>
      <c r="Y114" s="419" t="str">
        <f t="shared" si="47"/>
        <v>-</v>
      </c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s="5" customFormat="1" ht="15.75" thickBot="1" x14ac:dyDescent="0.3">
      <c r="A115" s="301"/>
      <c r="B115" s="90" t="s">
        <v>194</v>
      </c>
      <c r="C115" s="107">
        <v>0</v>
      </c>
      <c r="D115" s="112">
        <v>0</v>
      </c>
      <c r="E115" s="112">
        <v>0</v>
      </c>
      <c r="F115" s="112">
        <v>0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3">
        <v>0</v>
      </c>
      <c r="M115" s="214"/>
      <c r="N115" s="107">
        <f>N113-N114</f>
        <v>0</v>
      </c>
      <c r="O115" s="112">
        <f t="shared" ref="O115:W115" si="53">O113-O114</f>
        <v>0</v>
      </c>
      <c r="P115" s="112">
        <f t="shared" si="53"/>
        <v>0</v>
      </c>
      <c r="Q115" s="112">
        <f>Q113-Q114</f>
        <v>0</v>
      </c>
      <c r="R115" s="112">
        <f t="shared" si="53"/>
        <v>0</v>
      </c>
      <c r="S115" s="112">
        <f>S113-S114</f>
        <v>0</v>
      </c>
      <c r="T115" s="112">
        <f t="shared" si="53"/>
        <v>0</v>
      </c>
      <c r="U115" s="112">
        <f>U113-U114</f>
        <v>0</v>
      </c>
      <c r="V115" s="112">
        <f>V113-V114</f>
        <v>0</v>
      </c>
      <c r="W115" s="113">
        <f t="shared" si="53"/>
        <v>0</v>
      </c>
      <c r="X115" s="419" t="str">
        <f t="shared" si="46"/>
        <v>-</v>
      </c>
      <c r="Y115" s="419" t="str">
        <f t="shared" si="47"/>
        <v>-</v>
      </c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s="68" customFormat="1" ht="15.75" customHeight="1" x14ac:dyDescent="0.25">
      <c r="A116" s="381" t="s">
        <v>255</v>
      </c>
      <c r="B116" s="382" t="s">
        <v>20</v>
      </c>
      <c r="C116" s="88">
        <v>0</v>
      </c>
      <c r="D116" s="397">
        <v>0</v>
      </c>
      <c r="E116" s="398">
        <v>0</v>
      </c>
      <c r="F116" s="398">
        <v>0</v>
      </c>
      <c r="G116" s="398">
        <v>0</v>
      </c>
      <c r="H116" s="398">
        <v>0</v>
      </c>
      <c r="I116" s="398">
        <v>0</v>
      </c>
      <c r="J116" s="398">
        <v>0</v>
      </c>
      <c r="K116" s="398">
        <v>0</v>
      </c>
      <c r="L116" s="399">
        <v>0</v>
      </c>
      <c r="M116" s="400"/>
      <c r="N116" s="88">
        <f>SUM(O116:W116)</f>
        <v>0</v>
      </c>
      <c r="O116" s="397">
        <f t="shared" ref="O116:W116" si="54">SUM(O117:O120)</f>
        <v>0</v>
      </c>
      <c r="P116" s="398">
        <f t="shared" si="54"/>
        <v>0</v>
      </c>
      <c r="Q116" s="398">
        <f t="shared" si="54"/>
        <v>0</v>
      </c>
      <c r="R116" s="398">
        <f t="shared" si="54"/>
        <v>0</v>
      </c>
      <c r="S116" s="398">
        <f t="shared" si="54"/>
        <v>0</v>
      </c>
      <c r="T116" s="398">
        <f t="shared" si="54"/>
        <v>0</v>
      </c>
      <c r="U116" s="398">
        <f t="shared" si="54"/>
        <v>0</v>
      </c>
      <c r="V116" s="398">
        <f t="shared" si="54"/>
        <v>0</v>
      </c>
      <c r="W116" s="399">
        <f t="shared" si="54"/>
        <v>0</v>
      </c>
      <c r="X116" s="423" t="str">
        <f t="shared" si="46"/>
        <v>-</v>
      </c>
      <c r="Y116" s="423" t="str">
        <f t="shared" si="47"/>
        <v>-</v>
      </c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</row>
    <row r="117" spans="1:42" s="26" customFormat="1" ht="15.75" customHeight="1" x14ac:dyDescent="0.2">
      <c r="A117" s="293">
        <v>1</v>
      </c>
      <c r="B117" s="96" t="s">
        <v>15</v>
      </c>
      <c r="C117" s="256">
        <v>0</v>
      </c>
      <c r="D117" s="148"/>
      <c r="E117" s="155"/>
      <c r="F117" s="155"/>
      <c r="G117" s="155"/>
      <c r="H117" s="155"/>
      <c r="I117" s="155"/>
      <c r="J117" s="155"/>
      <c r="K117" s="155"/>
      <c r="L117" s="156"/>
      <c r="M117" s="214"/>
      <c r="N117" s="256">
        <f>SUM(O117:W117)</f>
        <v>0</v>
      </c>
      <c r="O117" s="148"/>
      <c r="P117" s="155"/>
      <c r="Q117" s="155"/>
      <c r="R117" s="155"/>
      <c r="S117" s="155"/>
      <c r="T117" s="155"/>
      <c r="U117" s="155"/>
      <c r="V117" s="155"/>
      <c r="W117" s="156"/>
      <c r="X117" s="419" t="str">
        <f t="shared" si="46"/>
        <v>-</v>
      </c>
      <c r="Y117" s="419" t="str">
        <f t="shared" si="47"/>
        <v>-</v>
      </c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</row>
    <row r="118" spans="1:42" s="26" customFormat="1" ht="15.75" customHeight="1" x14ac:dyDescent="0.2">
      <c r="A118" s="294">
        <v>2</v>
      </c>
      <c r="B118" s="24" t="s">
        <v>0</v>
      </c>
      <c r="C118" s="256">
        <v>0</v>
      </c>
      <c r="D118" s="148"/>
      <c r="E118" s="155"/>
      <c r="F118" s="155"/>
      <c r="G118" s="155"/>
      <c r="H118" s="155"/>
      <c r="I118" s="155"/>
      <c r="J118" s="155"/>
      <c r="K118" s="155"/>
      <c r="L118" s="156"/>
      <c r="M118" s="214"/>
      <c r="N118" s="256">
        <f>SUM(O118:W118)</f>
        <v>0</v>
      </c>
      <c r="O118" s="148"/>
      <c r="P118" s="155"/>
      <c r="Q118" s="155"/>
      <c r="R118" s="155"/>
      <c r="S118" s="155"/>
      <c r="T118" s="155"/>
      <c r="U118" s="155"/>
      <c r="V118" s="155"/>
      <c r="W118" s="156"/>
      <c r="X118" s="419" t="str">
        <f t="shared" si="46"/>
        <v>-</v>
      </c>
      <c r="Y118" s="419" t="str">
        <f t="shared" si="47"/>
        <v>-</v>
      </c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</row>
    <row r="119" spans="1:42" s="26" customFormat="1" ht="15.75" customHeight="1" x14ac:dyDescent="0.2">
      <c r="A119" s="294">
        <v>3</v>
      </c>
      <c r="B119" s="24" t="s">
        <v>1</v>
      </c>
      <c r="C119" s="256">
        <v>0</v>
      </c>
      <c r="D119" s="148"/>
      <c r="E119" s="155"/>
      <c r="F119" s="155"/>
      <c r="G119" s="155"/>
      <c r="H119" s="155"/>
      <c r="I119" s="155"/>
      <c r="J119" s="155"/>
      <c r="K119" s="155"/>
      <c r="L119" s="156"/>
      <c r="M119" s="214"/>
      <c r="N119" s="256">
        <f>SUM(O119:W119)</f>
        <v>0</v>
      </c>
      <c r="O119" s="148"/>
      <c r="P119" s="155"/>
      <c r="Q119" s="155"/>
      <c r="R119" s="155"/>
      <c r="S119" s="155"/>
      <c r="T119" s="155"/>
      <c r="U119" s="155"/>
      <c r="V119" s="155"/>
      <c r="W119" s="156"/>
      <c r="X119" s="419" t="str">
        <f t="shared" si="46"/>
        <v>-</v>
      </c>
      <c r="Y119" s="419" t="str">
        <f t="shared" si="47"/>
        <v>-</v>
      </c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</row>
    <row r="120" spans="1:42" s="26" customFormat="1" ht="15.75" customHeight="1" x14ac:dyDescent="0.2">
      <c r="A120" s="294">
        <v>4</v>
      </c>
      <c r="B120" s="24" t="s">
        <v>9</v>
      </c>
      <c r="C120" s="256">
        <v>0</v>
      </c>
      <c r="D120" s="148"/>
      <c r="E120" s="155"/>
      <c r="F120" s="155"/>
      <c r="G120" s="155"/>
      <c r="H120" s="155"/>
      <c r="I120" s="155"/>
      <c r="J120" s="155"/>
      <c r="K120" s="155"/>
      <c r="L120" s="156"/>
      <c r="M120" s="214"/>
      <c r="N120" s="256">
        <f>SUM(O120:W120)</f>
        <v>0</v>
      </c>
      <c r="O120" s="148"/>
      <c r="P120" s="155"/>
      <c r="Q120" s="155"/>
      <c r="R120" s="155"/>
      <c r="S120" s="155"/>
      <c r="T120" s="155"/>
      <c r="U120" s="155"/>
      <c r="V120" s="155"/>
      <c r="W120" s="156"/>
      <c r="X120" s="419" t="str">
        <f t="shared" si="46"/>
        <v>-</v>
      </c>
      <c r="Y120" s="419" t="str">
        <f t="shared" si="47"/>
        <v>-</v>
      </c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</row>
    <row r="121" spans="1:42" s="68" customFormat="1" ht="15.75" customHeight="1" x14ac:dyDescent="0.25">
      <c r="A121" s="381" t="s">
        <v>256</v>
      </c>
      <c r="B121" s="382" t="s">
        <v>343</v>
      </c>
      <c r="C121" s="74">
        <v>0</v>
      </c>
      <c r="D121" s="397">
        <v>0</v>
      </c>
      <c r="E121" s="398">
        <v>0</v>
      </c>
      <c r="F121" s="398">
        <v>0</v>
      </c>
      <c r="G121" s="398">
        <v>0</v>
      </c>
      <c r="H121" s="398">
        <v>0</v>
      </c>
      <c r="I121" s="398">
        <v>0</v>
      </c>
      <c r="J121" s="398">
        <v>0</v>
      </c>
      <c r="K121" s="398">
        <v>0</v>
      </c>
      <c r="L121" s="399">
        <v>0</v>
      </c>
      <c r="M121" s="400"/>
      <c r="N121" s="74">
        <f t="shared" si="40"/>
        <v>0</v>
      </c>
      <c r="O121" s="398">
        <f t="shared" ref="O121:W121" si="55">O122+O127+O129</f>
        <v>0</v>
      </c>
      <c r="P121" s="398">
        <f t="shared" si="55"/>
        <v>0</v>
      </c>
      <c r="Q121" s="398">
        <f t="shared" si="55"/>
        <v>0</v>
      </c>
      <c r="R121" s="398">
        <f t="shared" si="55"/>
        <v>0</v>
      </c>
      <c r="S121" s="398">
        <f t="shared" si="55"/>
        <v>0</v>
      </c>
      <c r="T121" s="398">
        <f t="shared" si="55"/>
        <v>0</v>
      </c>
      <c r="U121" s="398">
        <f t="shared" si="55"/>
        <v>0</v>
      </c>
      <c r="V121" s="398">
        <f t="shared" si="55"/>
        <v>0</v>
      </c>
      <c r="W121" s="399">
        <f t="shared" si="55"/>
        <v>0</v>
      </c>
      <c r="X121" s="423" t="str">
        <f t="shared" si="46"/>
        <v>-</v>
      </c>
      <c r="Y121" s="423" t="str">
        <f t="shared" si="47"/>
        <v>-</v>
      </c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</row>
    <row r="122" spans="1:42" s="409" customFormat="1" ht="15.75" customHeight="1" x14ac:dyDescent="0.2">
      <c r="A122" s="401" t="s">
        <v>345</v>
      </c>
      <c r="B122" s="402" t="s">
        <v>344</v>
      </c>
      <c r="C122" s="403">
        <v>0</v>
      </c>
      <c r="D122" s="404">
        <v>0</v>
      </c>
      <c r="E122" s="405">
        <v>0</v>
      </c>
      <c r="F122" s="405">
        <v>0</v>
      </c>
      <c r="G122" s="405">
        <v>0</v>
      </c>
      <c r="H122" s="405">
        <v>0</v>
      </c>
      <c r="I122" s="405">
        <v>0</v>
      </c>
      <c r="J122" s="405">
        <v>0</v>
      </c>
      <c r="K122" s="405">
        <v>0</v>
      </c>
      <c r="L122" s="406">
        <v>0</v>
      </c>
      <c r="M122" s="407"/>
      <c r="N122" s="403">
        <f>SUM(O122:W122)</f>
        <v>0</v>
      </c>
      <c r="O122" s="404">
        <f t="shared" ref="O122:W122" si="56">SUM(O123:O126)</f>
        <v>0</v>
      </c>
      <c r="P122" s="405">
        <f t="shared" si="56"/>
        <v>0</v>
      </c>
      <c r="Q122" s="405">
        <f t="shared" si="56"/>
        <v>0</v>
      </c>
      <c r="R122" s="405">
        <f t="shared" si="56"/>
        <v>0</v>
      </c>
      <c r="S122" s="405">
        <f t="shared" si="56"/>
        <v>0</v>
      </c>
      <c r="T122" s="405">
        <f t="shared" si="56"/>
        <v>0</v>
      </c>
      <c r="U122" s="405">
        <f t="shared" si="56"/>
        <v>0</v>
      </c>
      <c r="V122" s="405">
        <f t="shared" si="56"/>
        <v>0</v>
      </c>
      <c r="W122" s="406">
        <f t="shared" si="56"/>
        <v>0</v>
      </c>
      <c r="X122" s="424" t="str">
        <f t="shared" si="46"/>
        <v>-</v>
      </c>
      <c r="Y122" s="424" t="str">
        <f t="shared" si="47"/>
        <v>-</v>
      </c>
      <c r="Z122" s="408"/>
      <c r="AA122" s="408"/>
      <c r="AB122" s="408"/>
      <c r="AC122" s="408"/>
      <c r="AD122" s="408"/>
      <c r="AE122" s="408"/>
      <c r="AF122" s="408"/>
      <c r="AG122" s="408"/>
      <c r="AH122" s="408"/>
      <c r="AI122" s="408"/>
      <c r="AJ122" s="408"/>
      <c r="AK122" s="408"/>
      <c r="AL122" s="408"/>
      <c r="AM122" s="408"/>
      <c r="AN122" s="408"/>
      <c r="AO122" s="408"/>
      <c r="AP122" s="408"/>
    </row>
    <row r="123" spans="1:42" s="26" customFormat="1" ht="15.75" customHeight="1" x14ac:dyDescent="0.2">
      <c r="A123" s="293">
        <v>1</v>
      </c>
      <c r="B123" s="96" t="s">
        <v>15</v>
      </c>
      <c r="C123" s="256">
        <v>0</v>
      </c>
      <c r="D123" s="148"/>
      <c r="E123" s="155"/>
      <c r="F123" s="155"/>
      <c r="G123" s="155"/>
      <c r="H123" s="155"/>
      <c r="I123" s="155"/>
      <c r="J123" s="155"/>
      <c r="K123" s="155"/>
      <c r="L123" s="156"/>
      <c r="M123" s="214"/>
      <c r="N123" s="256">
        <f t="shared" si="40"/>
        <v>0</v>
      </c>
      <c r="O123" s="148"/>
      <c r="P123" s="155"/>
      <c r="Q123" s="155"/>
      <c r="R123" s="155"/>
      <c r="S123" s="155"/>
      <c r="T123" s="155"/>
      <c r="U123" s="155"/>
      <c r="V123" s="155"/>
      <c r="W123" s="156"/>
      <c r="X123" s="419" t="str">
        <f t="shared" si="46"/>
        <v>-</v>
      </c>
      <c r="Y123" s="419" t="str">
        <f t="shared" si="47"/>
        <v>-</v>
      </c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</row>
    <row r="124" spans="1:42" s="26" customFormat="1" ht="15.75" customHeight="1" x14ac:dyDescent="0.2">
      <c r="A124" s="294">
        <v>2</v>
      </c>
      <c r="B124" s="24" t="s">
        <v>0</v>
      </c>
      <c r="C124" s="256">
        <v>0</v>
      </c>
      <c r="D124" s="148"/>
      <c r="E124" s="155"/>
      <c r="F124" s="155"/>
      <c r="G124" s="155"/>
      <c r="H124" s="155"/>
      <c r="I124" s="155"/>
      <c r="J124" s="155"/>
      <c r="K124" s="155"/>
      <c r="L124" s="156"/>
      <c r="M124" s="214"/>
      <c r="N124" s="256">
        <f t="shared" si="40"/>
        <v>0</v>
      </c>
      <c r="O124" s="148"/>
      <c r="P124" s="155"/>
      <c r="Q124" s="155"/>
      <c r="R124" s="155"/>
      <c r="S124" s="155"/>
      <c r="T124" s="155"/>
      <c r="U124" s="155"/>
      <c r="V124" s="155"/>
      <c r="W124" s="156"/>
      <c r="X124" s="419" t="str">
        <f t="shared" si="46"/>
        <v>-</v>
      </c>
      <c r="Y124" s="419" t="str">
        <f t="shared" si="47"/>
        <v>-</v>
      </c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</row>
    <row r="125" spans="1:42" s="26" customFormat="1" ht="15.75" customHeight="1" x14ac:dyDescent="0.2">
      <c r="A125" s="294">
        <v>3</v>
      </c>
      <c r="B125" s="24" t="s">
        <v>1</v>
      </c>
      <c r="C125" s="256">
        <v>0</v>
      </c>
      <c r="D125" s="148"/>
      <c r="E125" s="155"/>
      <c r="F125" s="155"/>
      <c r="G125" s="155"/>
      <c r="H125" s="155"/>
      <c r="I125" s="155"/>
      <c r="J125" s="155"/>
      <c r="K125" s="155"/>
      <c r="L125" s="156"/>
      <c r="M125" s="214"/>
      <c r="N125" s="256">
        <f t="shared" si="40"/>
        <v>0</v>
      </c>
      <c r="O125" s="148"/>
      <c r="P125" s="155"/>
      <c r="Q125" s="155"/>
      <c r="R125" s="155"/>
      <c r="S125" s="155"/>
      <c r="T125" s="155"/>
      <c r="U125" s="155"/>
      <c r="V125" s="155"/>
      <c r="W125" s="156"/>
      <c r="X125" s="419" t="str">
        <f t="shared" si="46"/>
        <v>-</v>
      </c>
      <c r="Y125" s="419" t="str">
        <f t="shared" si="47"/>
        <v>-</v>
      </c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</row>
    <row r="126" spans="1:42" s="26" customFormat="1" ht="15.75" customHeight="1" x14ac:dyDescent="0.2">
      <c r="A126" s="294">
        <v>4</v>
      </c>
      <c r="B126" s="24" t="s">
        <v>9</v>
      </c>
      <c r="C126" s="256">
        <v>0</v>
      </c>
      <c r="D126" s="148"/>
      <c r="E126" s="155"/>
      <c r="F126" s="155"/>
      <c r="G126" s="155"/>
      <c r="H126" s="155"/>
      <c r="I126" s="155"/>
      <c r="J126" s="155"/>
      <c r="K126" s="155"/>
      <c r="L126" s="156"/>
      <c r="M126" s="214"/>
      <c r="N126" s="256">
        <f t="shared" si="40"/>
        <v>0</v>
      </c>
      <c r="O126" s="148"/>
      <c r="P126" s="155"/>
      <c r="Q126" s="155"/>
      <c r="R126" s="155"/>
      <c r="S126" s="155"/>
      <c r="T126" s="155"/>
      <c r="U126" s="155"/>
      <c r="V126" s="155"/>
      <c r="W126" s="156"/>
      <c r="X126" s="419" t="str">
        <f t="shared" si="46"/>
        <v>-</v>
      </c>
      <c r="Y126" s="419" t="str">
        <f t="shared" si="47"/>
        <v>-</v>
      </c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</row>
    <row r="127" spans="1:42" s="409" customFormat="1" ht="15.75" customHeight="1" x14ac:dyDescent="0.2">
      <c r="A127" s="401" t="s">
        <v>346</v>
      </c>
      <c r="B127" s="402" t="s">
        <v>341</v>
      </c>
      <c r="C127" s="403">
        <v>0</v>
      </c>
      <c r="D127" s="404">
        <v>0</v>
      </c>
      <c r="E127" s="405">
        <v>0</v>
      </c>
      <c r="F127" s="405">
        <v>0</v>
      </c>
      <c r="G127" s="405">
        <v>0</v>
      </c>
      <c r="H127" s="405">
        <v>0</v>
      </c>
      <c r="I127" s="405">
        <v>0</v>
      </c>
      <c r="J127" s="405">
        <v>0</v>
      </c>
      <c r="K127" s="405">
        <v>0</v>
      </c>
      <c r="L127" s="406">
        <v>0</v>
      </c>
      <c r="M127" s="407"/>
      <c r="N127" s="403">
        <f t="shared" si="40"/>
        <v>0</v>
      </c>
      <c r="O127" s="404">
        <f t="shared" ref="O127:W127" si="57">O128</f>
        <v>0</v>
      </c>
      <c r="P127" s="405">
        <f t="shared" si="57"/>
        <v>0</v>
      </c>
      <c r="Q127" s="405">
        <f t="shared" si="57"/>
        <v>0</v>
      </c>
      <c r="R127" s="405">
        <f t="shared" si="57"/>
        <v>0</v>
      </c>
      <c r="S127" s="405">
        <f t="shared" si="57"/>
        <v>0</v>
      </c>
      <c r="T127" s="405">
        <f t="shared" si="57"/>
        <v>0</v>
      </c>
      <c r="U127" s="405">
        <f t="shared" si="57"/>
        <v>0</v>
      </c>
      <c r="V127" s="405">
        <f t="shared" si="57"/>
        <v>0</v>
      </c>
      <c r="W127" s="406">
        <f t="shared" si="57"/>
        <v>0</v>
      </c>
      <c r="X127" s="419" t="str">
        <f t="shared" si="46"/>
        <v>-</v>
      </c>
      <c r="Y127" s="419" t="str">
        <f t="shared" si="47"/>
        <v>-</v>
      </c>
      <c r="Z127" s="408"/>
      <c r="AA127" s="408"/>
      <c r="AB127" s="408"/>
      <c r="AC127" s="408"/>
      <c r="AD127" s="408"/>
      <c r="AE127" s="408"/>
      <c r="AF127" s="408"/>
      <c r="AG127" s="408"/>
      <c r="AH127" s="408"/>
      <c r="AI127" s="408"/>
      <c r="AJ127" s="408"/>
      <c r="AK127" s="408"/>
      <c r="AL127" s="408"/>
      <c r="AM127" s="408"/>
      <c r="AN127" s="408"/>
      <c r="AO127" s="408"/>
      <c r="AP127" s="408"/>
    </row>
    <row r="128" spans="1:42" s="26" customFormat="1" ht="15.75" customHeight="1" x14ac:dyDescent="0.2">
      <c r="A128" s="299">
        <v>4</v>
      </c>
      <c r="B128" s="396" t="s">
        <v>9</v>
      </c>
      <c r="C128" s="256">
        <v>0</v>
      </c>
      <c r="D128" s="148"/>
      <c r="E128" s="155"/>
      <c r="F128" s="155"/>
      <c r="G128" s="155"/>
      <c r="H128" s="155"/>
      <c r="I128" s="155"/>
      <c r="J128" s="155"/>
      <c r="K128" s="155"/>
      <c r="L128" s="156"/>
      <c r="M128" s="214"/>
      <c r="N128" s="256">
        <f t="shared" si="40"/>
        <v>0</v>
      </c>
      <c r="O128" s="148"/>
      <c r="P128" s="155"/>
      <c r="Q128" s="155"/>
      <c r="R128" s="155"/>
      <c r="S128" s="155"/>
      <c r="T128" s="155"/>
      <c r="U128" s="155"/>
      <c r="V128" s="155"/>
      <c r="W128" s="156"/>
      <c r="X128" s="419" t="str">
        <f t="shared" si="46"/>
        <v>-</v>
      </c>
      <c r="Y128" s="419" t="str">
        <f t="shared" si="47"/>
        <v>-</v>
      </c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</row>
    <row r="129" spans="1:42" s="409" customFormat="1" ht="15.75" customHeight="1" x14ac:dyDescent="0.2">
      <c r="A129" s="401" t="s">
        <v>347</v>
      </c>
      <c r="B129" s="402" t="s">
        <v>342</v>
      </c>
      <c r="C129" s="403">
        <v>0</v>
      </c>
      <c r="D129" s="404">
        <v>0</v>
      </c>
      <c r="E129" s="405">
        <v>0</v>
      </c>
      <c r="F129" s="405">
        <v>0</v>
      </c>
      <c r="G129" s="405">
        <v>0</v>
      </c>
      <c r="H129" s="405">
        <v>0</v>
      </c>
      <c r="I129" s="405">
        <v>0</v>
      </c>
      <c r="J129" s="405">
        <v>0</v>
      </c>
      <c r="K129" s="405">
        <v>0</v>
      </c>
      <c r="L129" s="406">
        <v>0</v>
      </c>
      <c r="M129" s="407"/>
      <c r="N129" s="403">
        <f t="shared" si="40"/>
        <v>0</v>
      </c>
      <c r="O129" s="404">
        <f t="shared" ref="O129:W129" si="58">SUM(O130:O133)</f>
        <v>0</v>
      </c>
      <c r="P129" s="405">
        <f t="shared" si="58"/>
        <v>0</v>
      </c>
      <c r="Q129" s="405">
        <f t="shared" si="58"/>
        <v>0</v>
      </c>
      <c r="R129" s="405">
        <f t="shared" si="58"/>
        <v>0</v>
      </c>
      <c r="S129" s="405">
        <f t="shared" si="58"/>
        <v>0</v>
      </c>
      <c r="T129" s="405">
        <f t="shared" si="58"/>
        <v>0</v>
      </c>
      <c r="U129" s="405">
        <f t="shared" si="58"/>
        <v>0</v>
      </c>
      <c r="V129" s="405">
        <f t="shared" si="58"/>
        <v>0</v>
      </c>
      <c r="W129" s="406">
        <f t="shared" si="58"/>
        <v>0</v>
      </c>
      <c r="X129" s="419" t="str">
        <f t="shared" si="46"/>
        <v>-</v>
      </c>
      <c r="Y129" s="419" t="str">
        <f t="shared" si="47"/>
        <v>-</v>
      </c>
      <c r="Z129" s="408"/>
      <c r="AA129" s="408"/>
      <c r="AB129" s="408"/>
      <c r="AC129" s="408"/>
      <c r="AD129" s="408"/>
      <c r="AE129" s="408"/>
      <c r="AF129" s="408"/>
      <c r="AG129" s="408"/>
      <c r="AH129" s="408"/>
      <c r="AI129" s="408"/>
      <c r="AJ129" s="408"/>
      <c r="AK129" s="408"/>
      <c r="AL129" s="408"/>
      <c r="AM129" s="408"/>
      <c r="AN129" s="408"/>
      <c r="AO129" s="408"/>
      <c r="AP129" s="408"/>
    </row>
    <row r="130" spans="1:42" s="26" customFormat="1" ht="15.75" customHeight="1" x14ac:dyDescent="0.2">
      <c r="A130" s="299">
        <v>1</v>
      </c>
      <c r="B130" s="396" t="s">
        <v>15</v>
      </c>
      <c r="C130" s="256">
        <v>0</v>
      </c>
      <c r="D130" s="148"/>
      <c r="E130" s="155"/>
      <c r="F130" s="155"/>
      <c r="G130" s="155"/>
      <c r="H130" s="155"/>
      <c r="I130" s="155"/>
      <c r="J130" s="155"/>
      <c r="K130" s="155"/>
      <c r="L130" s="156"/>
      <c r="M130" s="214"/>
      <c r="N130" s="256">
        <f t="shared" si="40"/>
        <v>0</v>
      </c>
      <c r="O130" s="148"/>
      <c r="P130" s="155"/>
      <c r="Q130" s="155"/>
      <c r="R130" s="155"/>
      <c r="S130" s="155"/>
      <c r="T130" s="155"/>
      <c r="U130" s="155"/>
      <c r="V130" s="155"/>
      <c r="W130" s="156"/>
      <c r="X130" s="419" t="str">
        <f t="shared" si="46"/>
        <v>-</v>
      </c>
      <c r="Y130" s="419" t="str">
        <f t="shared" si="47"/>
        <v>-</v>
      </c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</row>
    <row r="131" spans="1:42" s="26" customFormat="1" ht="15.75" customHeight="1" x14ac:dyDescent="0.2">
      <c r="A131" s="299">
        <v>2</v>
      </c>
      <c r="B131" s="396" t="s">
        <v>0</v>
      </c>
      <c r="C131" s="256">
        <v>0</v>
      </c>
      <c r="D131" s="148"/>
      <c r="E131" s="155"/>
      <c r="F131" s="155"/>
      <c r="G131" s="155"/>
      <c r="H131" s="155"/>
      <c r="I131" s="155"/>
      <c r="J131" s="155"/>
      <c r="K131" s="155"/>
      <c r="L131" s="156"/>
      <c r="M131" s="214"/>
      <c r="N131" s="256">
        <f t="shared" si="40"/>
        <v>0</v>
      </c>
      <c r="O131" s="148"/>
      <c r="P131" s="155"/>
      <c r="Q131" s="155"/>
      <c r="R131" s="155"/>
      <c r="S131" s="155"/>
      <c r="T131" s="155"/>
      <c r="U131" s="155"/>
      <c r="V131" s="155"/>
      <c r="W131" s="156"/>
      <c r="X131" s="419" t="str">
        <f t="shared" si="46"/>
        <v>-</v>
      </c>
      <c r="Y131" s="419" t="str">
        <f t="shared" si="47"/>
        <v>-</v>
      </c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</row>
    <row r="132" spans="1:42" s="26" customFormat="1" ht="15.75" customHeight="1" x14ac:dyDescent="0.2">
      <c r="A132" s="299">
        <v>3</v>
      </c>
      <c r="B132" s="396" t="s">
        <v>1</v>
      </c>
      <c r="C132" s="256">
        <v>0</v>
      </c>
      <c r="D132" s="148"/>
      <c r="E132" s="155"/>
      <c r="F132" s="155"/>
      <c r="G132" s="155"/>
      <c r="H132" s="155"/>
      <c r="I132" s="155"/>
      <c r="J132" s="155"/>
      <c r="K132" s="155"/>
      <c r="L132" s="156"/>
      <c r="M132" s="214"/>
      <c r="N132" s="256">
        <f t="shared" si="40"/>
        <v>0</v>
      </c>
      <c r="O132" s="148"/>
      <c r="P132" s="155"/>
      <c r="Q132" s="155"/>
      <c r="R132" s="155"/>
      <c r="S132" s="155"/>
      <c r="T132" s="155"/>
      <c r="U132" s="155"/>
      <c r="V132" s="155"/>
      <c r="W132" s="156"/>
      <c r="X132" s="419" t="str">
        <f t="shared" si="46"/>
        <v>-</v>
      </c>
      <c r="Y132" s="419" t="str">
        <f t="shared" si="47"/>
        <v>-</v>
      </c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</row>
    <row r="133" spans="1:42" s="26" customFormat="1" ht="15.75" customHeight="1" thickBot="1" x14ac:dyDescent="0.25">
      <c r="A133" s="295">
        <v>4</v>
      </c>
      <c r="B133" s="323" t="s">
        <v>9</v>
      </c>
      <c r="C133" s="255">
        <v>0</v>
      </c>
      <c r="D133" s="322"/>
      <c r="E133" s="260"/>
      <c r="F133" s="260"/>
      <c r="G133" s="260"/>
      <c r="H133" s="260"/>
      <c r="I133" s="260"/>
      <c r="J133" s="260"/>
      <c r="K133" s="260"/>
      <c r="L133" s="375"/>
      <c r="M133" s="214"/>
      <c r="N133" s="256">
        <f t="shared" si="40"/>
        <v>0</v>
      </c>
      <c r="O133" s="322"/>
      <c r="P133" s="260"/>
      <c r="Q133" s="260"/>
      <c r="R133" s="260"/>
      <c r="S133" s="260"/>
      <c r="T133" s="260"/>
      <c r="U133" s="260"/>
      <c r="V133" s="260"/>
      <c r="W133" s="375"/>
      <c r="X133" s="419" t="str">
        <f t="shared" si="46"/>
        <v>-</v>
      </c>
      <c r="Y133" s="419" t="str">
        <f t="shared" si="47"/>
        <v>-</v>
      </c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</row>
    <row r="134" spans="1:42" s="5" customFormat="1" ht="15" x14ac:dyDescent="0.25">
      <c r="A134" s="302" t="s">
        <v>171</v>
      </c>
      <c r="B134" s="230" t="s">
        <v>195</v>
      </c>
      <c r="C134" s="259">
        <v>2998700</v>
      </c>
      <c r="D134" s="231"/>
      <c r="E134" s="231">
        <v>2710700</v>
      </c>
      <c r="F134" s="231"/>
      <c r="G134" s="231"/>
      <c r="H134" s="231"/>
      <c r="I134" s="231"/>
      <c r="J134" s="231">
        <v>228000</v>
      </c>
      <c r="K134" s="231">
        <v>60000</v>
      </c>
      <c r="L134" s="232"/>
      <c r="M134" s="214"/>
      <c r="N134" s="259">
        <f t="shared" si="40"/>
        <v>2920834</v>
      </c>
      <c r="O134" s="231">
        <f>5512+6102+1</f>
        <v>11615</v>
      </c>
      <c r="P134" s="231">
        <f>3845592-1012575-6102+360</f>
        <v>2827275</v>
      </c>
      <c r="Q134" s="231"/>
      <c r="R134" s="231"/>
      <c r="S134" s="231">
        <v>31237</v>
      </c>
      <c r="T134" s="231">
        <v>46837</v>
      </c>
      <c r="U134" s="231">
        <v>3870</v>
      </c>
      <c r="V134" s="231"/>
      <c r="W134" s="232"/>
      <c r="X134" s="419">
        <f t="shared" si="46"/>
        <v>97.403341447960784</v>
      </c>
      <c r="Y134" s="419" t="str">
        <f t="shared" si="47"/>
        <v>-</v>
      </c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s="5" customFormat="1" ht="15" x14ac:dyDescent="0.25">
      <c r="A135" s="300"/>
      <c r="B135" s="6" t="s">
        <v>196</v>
      </c>
      <c r="C135" s="81">
        <v>2601255</v>
      </c>
      <c r="D135" s="8">
        <v>0</v>
      </c>
      <c r="E135" s="8">
        <v>2532514</v>
      </c>
      <c r="F135" s="8">
        <v>0</v>
      </c>
      <c r="G135" s="8">
        <v>0</v>
      </c>
      <c r="H135" s="8">
        <v>0</v>
      </c>
      <c r="I135" s="8">
        <v>0</v>
      </c>
      <c r="J135" s="8">
        <v>30000</v>
      </c>
      <c r="K135" s="8">
        <v>38741</v>
      </c>
      <c r="L135" s="8">
        <v>0</v>
      </c>
      <c r="M135" s="214"/>
      <c r="N135" s="81">
        <f t="shared" si="40"/>
        <v>2540857</v>
      </c>
      <c r="O135" s="8">
        <f>SUM(O137:O140)</f>
        <v>11986</v>
      </c>
      <c r="P135" s="8">
        <f t="shared" ref="P135:W135" si="59">SUM(P137:P140)</f>
        <v>2456533</v>
      </c>
      <c r="Q135" s="8">
        <f t="shared" si="59"/>
        <v>0</v>
      </c>
      <c r="R135" s="8">
        <f t="shared" si="59"/>
        <v>0</v>
      </c>
      <c r="S135" s="8">
        <f t="shared" si="59"/>
        <v>33468</v>
      </c>
      <c r="T135" s="8">
        <f t="shared" si="59"/>
        <v>27978</v>
      </c>
      <c r="U135" s="8">
        <f t="shared" si="59"/>
        <v>10892</v>
      </c>
      <c r="V135" s="8">
        <f t="shared" si="59"/>
        <v>0</v>
      </c>
      <c r="W135" s="8">
        <f t="shared" si="59"/>
        <v>0</v>
      </c>
      <c r="X135" s="419">
        <f t="shared" si="46"/>
        <v>97.67812075325179</v>
      </c>
      <c r="Y135" s="419" t="str">
        <f t="shared" si="47"/>
        <v>-</v>
      </c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s="5" customFormat="1" ht="15.75" thickBot="1" x14ac:dyDescent="0.3">
      <c r="A136" s="301"/>
      <c r="B136" s="90" t="s">
        <v>197</v>
      </c>
      <c r="C136" s="107">
        <v>397445</v>
      </c>
      <c r="D136" s="112">
        <v>0</v>
      </c>
      <c r="E136" s="112">
        <v>178186</v>
      </c>
      <c r="F136" s="112">
        <v>0</v>
      </c>
      <c r="G136" s="112">
        <v>0</v>
      </c>
      <c r="H136" s="112">
        <v>0</v>
      </c>
      <c r="I136" s="112">
        <v>0</v>
      </c>
      <c r="J136" s="112">
        <v>198000</v>
      </c>
      <c r="K136" s="112">
        <v>21259</v>
      </c>
      <c r="L136" s="113">
        <v>0</v>
      </c>
      <c r="M136" s="214"/>
      <c r="N136" s="107">
        <f>N134-N135</f>
        <v>379977</v>
      </c>
      <c r="O136" s="112">
        <f t="shared" ref="O136:W136" si="60">O134-O135</f>
        <v>-371</v>
      </c>
      <c r="P136" s="112">
        <f t="shared" si="60"/>
        <v>370742</v>
      </c>
      <c r="Q136" s="112">
        <f>Q134-Q135</f>
        <v>0</v>
      </c>
      <c r="R136" s="112">
        <f t="shared" si="60"/>
        <v>0</v>
      </c>
      <c r="S136" s="112">
        <f>S134-S135</f>
        <v>-2231</v>
      </c>
      <c r="T136" s="112">
        <f t="shared" si="60"/>
        <v>18859</v>
      </c>
      <c r="U136" s="112">
        <f>U134-U135</f>
        <v>-7022</v>
      </c>
      <c r="V136" s="112">
        <f>V134-V135</f>
        <v>0</v>
      </c>
      <c r="W136" s="113">
        <f t="shared" si="60"/>
        <v>0</v>
      </c>
      <c r="X136" s="419">
        <f t="shared" si="46"/>
        <v>95.604926467813158</v>
      </c>
      <c r="Y136" s="419" t="str">
        <f t="shared" si="47"/>
        <v>-</v>
      </c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s="26" customFormat="1" ht="15.75" customHeight="1" x14ac:dyDescent="0.2">
      <c r="A137" s="293">
        <v>1</v>
      </c>
      <c r="B137" s="24" t="s">
        <v>15</v>
      </c>
      <c r="C137" s="63">
        <v>1506000</v>
      </c>
      <c r="D137" s="44"/>
      <c r="E137" s="44">
        <v>1500000</v>
      </c>
      <c r="F137" s="44"/>
      <c r="G137" s="44"/>
      <c r="H137" s="44"/>
      <c r="I137" s="44"/>
      <c r="J137" s="44">
        <v>4500</v>
      </c>
      <c r="K137" s="44">
        <v>1500</v>
      </c>
      <c r="L137" s="46"/>
      <c r="M137" s="214"/>
      <c r="N137" s="63">
        <f t="shared" si="40"/>
        <v>1490039</v>
      </c>
      <c r="O137" s="44">
        <f>3838+408</f>
        <v>4246</v>
      </c>
      <c r="P137" s="44">
        <f>1379781+15251+2253+64456-408</f>
        <v>1461333</v>
      </c>
      <c r="Q137" s="44"/>
      <c r="R137" s="44"/>
      <c r="S137" s="44">
        <v>19570</v>
      </c>
      <c r="T137" s="44">
        <v>4890</v>
      </c>
      <c r="U137" s="44"/>
      <c r="V137" s="44"/>
      <c r="W137" s="46"/>
      <c r="X137" s="419">
        <f t="shared" si="46"/>
        <v>98.940172642762278</v>
      </c>
      <c r="Y137" s="419" t="str">
        <f t="shared" si="47"/>
        <v>-</v>
      </c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</row>
    <row r="138" spans="1:42" s="26" customFormat="1" ht="14.25" x14ac:dyDescent="0.2">
      <c r="A138" s="294">
        <v>2</v>
      </c>
      <c r="B138" s="24" t="s">
        <v>0</v>
      </c>
      <c r="C138" s="63">
        <v>240180</v>
      </c>
      <c r="D138" s="44"/>
      <c r="E138" s="44">
        <v>239214</v>
      </c>
      <c r="F138" s="44"/>
      <c r="G138" s="44"/>
      <c r="H138" s="44"/>
      <c r="I138" s="44"/>
      <c r="J138" s="44">
        <v>725</v>
      </c>
      <c r="K138" s="44">
        <v>241</v>
      </c>
      <c r="L138" s="46"/>
      <c r="M138" s="214"/>
      <c r="N138" s="63">
        <f t="shared" si="40"/>
        <v>237553</v>
      </c>
      <c r="O138" s="44">
        <f>611+66</f>
        <v>677</v>
      </c>
      <c r="P138" s="44">
        <f>233012+36-66</f>
        <v>232982</v>
      </c>
      <c r="Q138" s="44"/>
      <c r="R138" s="44"/>
      <c r="S138" s="44">
        <v>3108</v>
      </c>
      <c r="T138" s="44">
        <v>786</v>
      </c>
      <c r="U138" s="44"/>
      <c r="V138" s="44"/>
      <c r="W138" s="46"/>
      <c r="X138" s="419">
        <f t="shared" si="46"/>
        <v>98.906236988924974</v>
      </c>
      <c r="Y138" s="419" t="str">
        <f t="shared" si="47"/>
        <v>-</v>
      </c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</row>
    <row r="139" spans="1:42" s="26" customFormat="1" ht="14.25" x14ac:dyDescent="0.2">
      <c r="A139" s="294">
        <v>3</v>
      </c>
      <c r="B139" s="24" t="s">
        <v>1</v>
      </c>
      <c r="C139" s="63">
        <v>93300</v>
      </c>
      <c r="D139" s="44"/>
      <c r="E139" s="44">
        <v>93300</v>
      </c>
      <c r="F139" s="44"/>
      <c r="G139" s="44"/>
      <c r="H139" s="44"/>
      <c r="I139" s="44"/>
      <c r="J139" s="44"/>
      <c r="K139" s="44"/>
      <c r="L139" s="44"/>
      <c r="M139" s="214"/>
      <c r="N139" s="63">
        <f t="shared" si="40"/>
        <v>116039</v>
      </c>
      <c r="O139" s="44">
        <v>145</v>
      </c>
      <c r="P139" s="44">
        <v>114449</v>
      </c>
      <c r="Q139" s="44"/>
      <c r="R139" s="44"/>
      <c r="S139" s="44">
        <v>1445</v>
      </c>
      <c r="T139" s="44"/>
      <c r="U139" s="44"/>
      <c r="V139" s="44"/>
      <c r="W139" s="44"/>
      <c r="X139" s="419">
        <f t="shared" si="46"/>
        <v>124.37191854233656</v>
      </c>
      <c r="Y139" s="419" t="str">
        <f t="shared" si="47"/>
        <v>-</v>
      </c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</row>
    <row r="140" spans="1:42" s="26" customFormat="1" ht="15" thickBot="1" x14ac:dyDescent="0.25">
      <c r="A140" s="295">
        <v>4</v>
      </c>
      <c r="B140" s="323" t="s">
        <v>9</v>
      </c>
      <c r="C140" s="255">
        <v>761775</v>
      </c>
      <c r="D140" s="104"/>
      <c r="E140" s="104">
        <v>700000</v>
      </c>
      <c r="F140" s="104"/>
      <c r="G140" s="104"/>
      <c r="H140" s="104"/>
      <c r="I140" s="104"/>
      <c r="J140" s="104">
        <v>24775</v>
      </c>
      <c r="K140" s="104">
        <v>37000</v>
      </c>
      <c r="L140" s="105"/>
      <c r="M140" s="214"/>
      <c r="N140" s="255">
        <f t="shared" si="40"/>
        <v>697226</v>
      </c>
      <c r="O140" s="104">
        <f>1312+5606</f>
        <v>6918</v>
      </c>
      <c r="P140" s="104">
        <f>653375-5606</f>
        <v>647769</v>
      </c>
      <c r="Q140" s="104"/>
      <c r="R140" s="104"/>
      <c r="S140" s="104">
        <v>9345</v>
      </c>
      <c r="T140" s="104">
        <f>21470+832</f>
        <v>22302</v>
      </c>
      <c r="U140" s="104">
        <f>3870+7022</f>
        <v>10892</v>
      </c>
      <c r="V140" s="104"/>
      <c r="W140" s="105"/>
      <c r="X140" s="419">
        <f t="shared" si="46"/>
        <v>91.526500607134651</v>
      </c>
      <c r="Y140" s="419" t="str">
        <f t="shared" si="47"/>
        <v>-</v>
      </c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</row>
    <row r="141" spans="1:42" s="5" customFormat="1" ht="15" x14ac:dyDescent="0.25">
      <c r="A141" s="302" t="s">
        <v>172</v>
      </c>
      <c r="B141" s="230" t="s">
        <v>201</v>
      </c>
      <c r="C141" s="259">
        <v>0</v>
      </c>
      <c r="D141" s="231"/>
      <c r="E141" s="231"/>
      <c r="F141" s="231"/>
      <c r="G141" s="231"/>
      <c r="H141" s="231"/>
      <c r="I141" s="231"/>
      <c r="J141" s="231"/>
      <c r="K141" s="231"/>
      <c r="L141" s="232"/>
      <c r="M141" s="214"/>
      <c r="N141" s="259">
        <f t="shared" ref="N141:N163" si="61">SUM(O141:W141)</f>
        <v>0</v>
      </c>
      <c r="O141" s="231"/>
      <c r="P141" s="231"/>
      <c r="Q141" s="231"/>
      <c r="R141" s="231"/>
      <c r="S141" s="231"/>
      <c r="T141" s="231"/>
      <c r="U141" s="231"/>
      <c r="V141" s="231"/>
      <c r="W141" s="232"/>
      <c r="X141" s="419" t="str">
        <f t="shared" si="46"/>
        <v>-</v>
      </c>
      <c r="Y141" s="419" t="str">
        <f t="shared" si="47"/>
        <v>-</v>
      </c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s="5" customFormat="1" ht="15" x14ac:dyDescent="0.25">
      <c r="A142" s="300"/>
      <c r="B142" s="6" t="s">
        <v>202</v>
      </c>
      <c r="C142" s="81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214"/>
      <c r="N142" s="81">
        <f t="shared" si="61"/>
        <v>0</v>
      </c>
      <c r="O142" s="8">
        <f t="shared" ref="O142:W142" si="62">SUM(O144:O147)</f>
        <v>0</v>
      </c>
      <c r="P142" s="8">
        <f t="shared" si="62"/>
        <v>0</v>
      </c>
      <c r="Q142" s="8">
        <f t="shared" si="62"/>
        <v>0</v>
      </c>
      <c r="R142" s="8">
        <f t="shared" si="62"/>
        <v>0</v>
      </c>
      <c r="S142" s="8">
        <f t="shared" si="62"/>
        <v>0</v>
      </c>
      <c r="T142" s="8">
        <f t="shared" si="62"/>
        <v>0</v>
      </c>
      <c r="U142" s="8">
        <f t="shared" si="62"/>
        <v>0</v>
      </c>
      <c r="V142" s="8">
        <f t="shared" si="62"/>
        <v>0</v>
      </c>
      <c r="W142" s="8">
        <f t="shared" si="62"/>
        <v>0</v>
      </c>
      <c r="X142" s="419" t="str">
        <f t="shared" si="46"/>
        <v>-</v>
      </c>
      <c r="Y142" s="419" t="str">
        <f t="shared" si="47"/>
        <v>-</v>
      </c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s="5" customFormat="1" ht="15.75" thickBot="1" x14ac:dyDescent="0.3">
      <c r="A143" s="298"/>
      <c r="B143" s="90" t="s">
        <v>203</v>
      </c>
      <c r="C143" s="107">
        <v>0</v>
      </c>
      <c r="D143" s="112">
        <v>0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3">
        <v>0</v>
      </c>
      <c r="M143" s="214"/>
      <c r="N143" s="107">
        <f>N141-N142</f>
        <v>0</v>
      </c>
      <c r="O143" s="112">
        <f t="shared" ref="O143:W143" si="63">O141-O142</f>
        <v>0</v>
      </c>
      <c r="P143" s="112">
        <f t="shared" si="63"/>
        <v>0</v>
      </c>
      <c r="Q143" s="112">
        <f>Q141-Q142</f>
        <v>0</v>
      </c>
      <c r="R143" s="112">
        <f t="shared" si="63"/>
        <v>0</v>
      </c>
      <c r="S143" s="112">
        <f>S141-S142</f>
        <v>0</v>
      </c>
      <c r="T143" s="112">
        <f t="shared" si="63"/>
        <v>0</v>
      </c>
      <c r="U143" s="112">
        <f>U141-U142</f>
        <v>0</v>
      </c>
      <c r="V143" s="112">
        <f>V141-V142</f>
        <v>0</v>
      </c>
      <c r="W143" s="113">
        <f t="shared" si="63"/>
        <v>0</v>
      </c>
      <c r="X143" s="419" t="str">
        <f t="shared" si="46"/>
        <v>-</v>
      </c>
      <c r="Y143" s="419" t="str">
        <f t="shared" si="47"/>
        <v>-</v>
      </c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s="26" customFormat="1" ht="15.75" customHeight="1" x14ac:dyDescent="0.2">
      <c r="A144" s="293">
        <v>1</v>
      </c>
      <c r="B144" s="96" t="s">
        <v>15</v>
      </c>
      <c r="C144" s="63">
        <v>0</v>
      </c>
      <c r="D144" s="44"/>
      <c r="E144" s="44"/>
      <c r="F144" s="44"/>
      <c r="G144" s="44"/>
      <c r="H144" s="44"/>
      <c r="I144" s="44"/>
      <c r="J144" s="44"/>
      <c r="K144" s="44"/>
      <c r="L144" s="46"/>
      <c r="M144" s="214"/>
      <c r="N144" s="63">
        <f t="shared" si="61"/>
        <v>0</v>
      </c>
      <c r="O144" s="44"/>
      <c r="P144" s="44"/>
      <c r="Q144" s="44"/>
      <c r="R144" s="44"/>
      <c r="S144" s="44"/>
      <c r="T144" s="44"/>
      <c r="U144" s="44"/>
      <c r="V144" s="44"/>
      <c r="W144" s="46"/>
      <c r="X144" s="419" t="str">
        <f t="shared" si="46"/>
        <v>-</v>
      </c>
      <c r="Y144" s="419" t="str">
        <f t="shared" si="47"/>
        <v>-</v>
      </c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</row>
    <row r="145" spans="1:42" s="26" customFormat="1" ht="14.25" x14ac:dyDescent="0.2">
      <c r="A145" s="294">
        <v>2</v>
      </c>
      <c r="B145" s="24" t="s">
        <v>0</v>
      </c>
      <c r="C145" s="63">
        <v>0</v>
      </c>
      <c r="D145" s="44"/>
      <c r="E145" s="44"/>
      <c r="F145" s="44"/>
      <c r="G145" s="44"/>
      <c r="H145" s="44"/>
      <c r="I145" s="44"/>
      <c r="J145" s="44"/>
      <c r="K145" s="44"/>
      <c r="L145" s="46"/>
      <c r="M145" s="214"/>
      <c r="N145" s="63">
        <f t="shared" si="61"/>
        <v>0</v>
      </c>
      <c r="O145" s="44"/>
      <c r="P145" s="44"/>
      <c r="Q145" s="44"/>
      <c r="R145" s="44"/>
      <c r="S145" s="44"/>
      <c r="T145" s="44"/>
      <c r="U145" s="44"/>
      <c r="V145" s="44"/>
      <c r="W145" s="46"/>
      <c r="X145" s="419" t="str">
        <f t="shared" si="46"/>
        <v>-</v>
      </c>
      <c r="Y145" s="419" t="str">
        <f t="shared" si="47"/>
        <v>-</v>
      </c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</row>
    <row r="146" spans="1:42" s="26" customFormat="1" ht="14.25" x14ac:dyDescent="0.2">
      <c r="A146" s="294">
        <v>3</v>
      </c>
      <c r="B146" s="24" t="s">
        <v>1</v>
      </c>
      <c r="C146" s="63">
        <v>0</v>
      </c>
      <c r="D146" s="44"/>
      <c r="E146" s="44"/>
      <c r="F146" s="44"/>
      <c r="G146" s="44"/>
      <c r="H146" s="44"/>
      <c r="I146" s="44"/>
      <c r="J146" s="44"/>
      <c r="K146" s="44"/>
      <c r="L146" s="44"/>
      <c r="M146" s="214"/>
      <c r="N146" s="63">
        <f t="shared" si="61"/>
        <v>0</v>
      </c>
      <c r="O146" s="44"/>
      <c r="P146" s="44"/>
      <c r="Q146" s="44"/>
      <c r="R146" s="44"/>
      <c r="S146" s="44"/>
      <c r="T146" s="44"/>
      <c r="U146" s="44"/>
      <c r="V146" s="44"/>
      <c r="W146" s="44"/>
      <c r="X146" s="419" t="str">
        <f t="shared" si="46"/>
        <v>-</v>
      </c>
      <c r="Y146" s="419" t="str">
        <f t="shared" si="47"/>
        <v>-</v>
      </c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</row>
    <row r="147" spans="1:42" s="26" customFormat="1" ht="15" thickBot="1" x14ac:dyDescent="0.25">
      <c r="A147" s="295">
        <v>4</v>
      </c>
      <c r="B147" s="546" t="s">
        <v>9</v>
      </c>
      <c r="C147" s="255">
        <v>0</v>
      </c>
      <c r="D147" s="104"/>
      <c r="E147" s="104"/>
      <c r="F147" s="104"/>
      <c r="G147" s="104"/>
      <c r="H147" s="104"/>
      <c r="I147" s="104"/>
      <c r="J147" s="104"/>
      <c r="K147" s="104"/>
      <c r="L147" s="105"/>
      <c r="M147" s="214"/>
      <c r="N147" s="255">
        <f t="shared" si="61"/>
        <v>0</v>
      </c>
      <c r="O147" s="104"/>
      <c r="P147" s="104"/>
      <c r="Q147" s="104"/>
      <c r="R147" s="104"/>
      <c r="S147" s="104"/>
      <c r="T147" s="104"/>
      <c r="U147" s="104"/>
      <c r="V147" s="104"/>
      <c r="W147" s="105"/>
      <c r="X147" s="419" t="str">
        <f t="shared" si="46"/>
        <v>-</v>
      </c>
      <c r="Y147" s="419" t="str">
        <f t="shared" si="47"/>
        <v>-</v>
      </c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</row>
    <row r="148" spans="1:42" s="26" customFormat="1" ht="15.75" customHeight="1" x14ac:dyDescent="0.25">
      <c r="A148" s="302" t="s">
        <v>173</v>
      </c>
      <c r="B148" s="230" t="s">
        <v>272</v>
      </c>
      <c r="C148" s="259">
        <v>450000</v>
      </c>
      <c r="D148" s="259"/>
      <c r="E148" s="259"/>
      <c r="F148" s="259"/>
      <c r="G148" s="259"/>
      <c r="H148" s="259"/>
      <c r="I148" s="259"/>
      <c r="J148" s="259"/>
      <c r="K148" s="259"/>
      <c r="L148" s="232">
        <v>450000</v>
      </c>
      <c r="M148" s="214"/>
      <c r="N148" s="259">
        <f>SUM(O148:W148)</f>
        <v>390293</v>
      </c>
      <c r="O148" s="259"/>
      <c r="P148" s="259"/>
      <c r="Q148" s="259"/>
      <c r="R148" s="259"/>
      <c r="S148" s="259"/>
      <c r="T148" s="259"/>
      <c r="U148" s="259"/>
      <c r="V148" s="259"/>
      <c r="W148" s="232">
        <v>390293</v>
      </c>
      <c r="X148" s="419">
        <f t="shared" si="46"/>
        <v>86.731777777777779</v>
      </c>
      <c r="Y148" s="419" t="str">
        <f t="shared" si="47"/>
        <v>-</v>
      </c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</row>
    <row r="149" spans="1:42" s="26" customFormat="1" ht="15.75" customHeight="1" x14ac:dyDescent="0.25">
      <c r="A149" s="300"/>
      <c r="B149" s="6" t="s">
        <v>273</v>
      </c>
      <c r="C149" s="81">
        <v>294245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294245</v>
      </c>
      <c r="M149" s="214"/>
      <c r="N149" s="81">
        <f>SUM(O149:W149)</f>
        <v>291521</v>
      </c>
      <c r="O149" s="8">
        <f t="shared" ref="O149:W149" si="64">SUM(O151:O154)</f>
        <v>0</v>
      </c>
      <c r="P149" s="8">
        <f t="shared" si="64"/>
        <v>0</v>
      </c>
      <c r="Q149" s="8">
        <f t="shared" si="64"/>
        <v>0</v>
      </c>
      <c r="R149" s="8">
        <f t="shared" si="64"/>
        <v>0</v>
      </c>
      <c r="S149" s="8">
        <f t="shared" si="64"/>
        <v>0</v>
      </c>
      <c r="T149" s="8">
        <f t="shared" si="64"/>
        <v>0</v>
      </c>
      <c r="U149" s="8">
        <f t="shared" si="64"/>
        <v>0</v>
      </c>
      <c r="V149" s="8">
        <f t="shared" si="64"/>
        <v>0</v>
      </c>
      <c r="W149" s="8">
        <f t="shared" si="64"/>
        <v>291521</v>
      </c>
      <c r="X149" s="419">
        <f t="shared" si="46"/>
        <v>99.074240853710336</v>
      </c>
      <c r="Y149" s="419" t="str">
        <f t="shared" si="47"/>
        <v>-</v>
      </c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</row>
    <row r="150" spans="1:42" s="26" customFormat="1" ht="15.75" customHeight="1" thickBot="1" x14ac:dyDescent="0.3">
      <c r="A150" s="298"/>
      <c r="B150" s="90" t="s">
        <v>274</v>
      </c>
      <c r="C150" s="107">
        <v>155755</v>
      </c>
      <c r="D150" s="112">
        <v>0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3">
        <v>155755</v>
      </c>
      <c r="M150" s="214"/>
      <c r="N150" s="107">
        <f>N148-N149</f>
        <v>98772</v>
      </c>
      <c r="O150" s="112">
        <f t="shared" ref="O150:W150" si="65">O148-O149</f>
        <v>0</v>
      </c>
      <c r="P150" s="112">
        <f t="shared" si="65"/>
        <v>0</v>
      </c>
      <c r="Q150" s="112">
        <f t="shared" si="65"/>
        <v>0</v>
      </c>
      <c r="R150" s="112">
        <f t="shared" si="65"/>
        <v>0</v>
      </c>
      <c r="S150" s="112">
        <f t="shared" si="65"/>
        <v>0</v>
      </c>
      <c r="T150" s="112">
        <f t="shared" si="65"/>
        <v>0</v>
      </c>
      <c r="U150" s="112">
        <f t="shared" si="65"/>
        <v>0</v>
      </c>
      <c r="V150" s="112">
        <f t="shared" si="65"/>
        <v>0</v>
      </c>
      <c r="W150" s="113">
        <f t="shared" si="65"/>
        <v>98772</v>
      </c>
      <c r="X150" s="419">
        <f t="shared" si="46"/>
        <v>63.414978652370714</v>
      </c>
      <c r="Y150" s="419" t="str">
        <f t="shared" si="47"/>
        <v>-</v>
      </c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</row>
    <row r="151" spans="1:42" s="26" customFormat="1" ht="15.75" customHeight="1" x14ac:dyDescent="0.2">
      <c r="A151" s="293">
        <v>1</v>
      </c>
      <c r="B151" s="96" t="s">
        <v>15</v>
      </c>
      <c r="C151" s="63">
        <v>45000</v>
      </c>
      <c r="D151" s="151"/>
      <c r="E151" s="151"/>
      <c r="F151" s="151"/>
      <c r="G151" s="151"/>
      <c r="H151" s="151"/>
      <c r="I151" s="151"/>
      <c r="J151" s="151"/>
      <c r="K151" s="151"/>
      <c r="L151" s="46">
        <v>45000</v>
      </c>
      <c r="M151" s="214"/>
      <c r="N151" s="63">
        <f>SUM(O151:W151)</f>
        <v>58387</v>
      </c>
      <c r="O151" s="151"/>
      <c r="P151" s="151"/>
      <c r="Q151" s="151"/>
      <c r="R151" s="151"/>
      <c r="S151" s="151"/>
      <c r="T151" s="151"/>
      <c r="U151" s="151"/>
      <c r="V151" s="151"/>
      <c r="W151" s="46">
        <v>58387</v>
      </c>
      <c r="X151" s="419">
        <f t="shared" si="46"/>
        <v>129.7488888888889</v>
      </c>
      <c r="Y151" s="419" t="str">
        <f t="shared" si="47"/>
        <v>-</v>
      </c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</row>
    <row r="152" spans="1:42" s="26" customFormat="1" ht="15.75" customHeight="1" x14ac:dyDescent="0.2">
      <c r="A152" s="294">
        <v>2</v>
      </c>
      <c r="B152" s="24" t="s">
        <v>0</v>
      </c>
      <c r="C152" s="63">
        <v>7245</v>
      </c>
      <c r="D152" s="151"/>
      <c r="E152" s="151"/>
      <c r="F152" s="151"/>
      <c r="G152" s="151"/>
      <c r="H152" s="151"/>
      <c r="I152" s="151"/>
      <c r="J152" s="151"/>
      <c r="K152" s="151"/>
      <c r="L152" s="46">
        <v>7245</v>
      </c>
      <c r="M152" s="214"/>
      <c r="N152" s="63">
        <f>SUM(O152:W152)</f>
        <v>9485</v>
      </c>
      <c r="O152" s="151"/>
      <c r="P152" s="151"/>
      <c r="Q152" s="151"/>
      <c r="R152" s="151"/>
      <c r="S152" s="151"/>
      <c r="T152" s="151"/>
      <c r="U152" s="151"/>
      <c r="V152" s="151"/>
      <c r="W152" s="46">
        <v>9485</v>
      </c>
      <c r="X152" s="419">
        <f t="shared" si="46"/>
        <v>130.91787439613526</v>
      </c>
      <c r="Y152" s="419" t="str">
        <f t="shared" si="47"/>
        <v>-</v>
      </c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</row>
    <row r="153" spans="1:42" s="26" customFormat="1" ht="15.75" customHeight="1" x14ac:dyDescent="0.2">
      <c r="A153" s="294">
        <v>3</v>
      </c>
      <c r="B153" s="24" t="s">
        <v>1</v>
      </c>
      <c r="C153" s="63">
        <v>2000</v>
      </c>
      <c r="D153" s="151"/>
      <c r="E153" s="151"/>
      <c r="F153" s="151"/>
      <c r="G153" s="151"/>
      <c r="H153" s="151"/>
      <c r="I153" s="151"/>
      <c r="J153" s="151"/>
      <c r="K153" s="151"/>
      <c r="L153" s="44">
        <v>2000</v>
      </c>
      <c r="M153" s="214"/>
      <c r="N153" s="63">
        <f>SUM(O153:W153)</f>
        <v>2489</v>
      </c>
      <c r="O153" s="151"/>
      <c r="P153" s="151"/>
      <c r="Q153" s="151"/>
      <c r="R153" s="151"/>
      <c r="S153" s="151"/>
      <c r="T153" s="151"/>
      <c r="U153" s="151"/>
      <c r="V153" s="151"/>
      <c r="W153" s="44">
        <v>2489</v>
      </c>
      <c r="X153" s="419">
        <f t="shared" si="46"/>
        <v>124.44999999999999</v>
      </c>
      <c r="Y153" s="419" t="str">
        <f t="shared" si="47"/>
        <v>-</v>
      </c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</row>
    <row r="154" spans="1:42" s="26" customFormat="1" ht="15.75" customHeight="1" thickBot="1" x14ac:dyDescent="0.25">
      <c r="A154" s="295">
        <v>4</v>
      </c>
      <c r="B154" s="323" t="s">
        <v>9</v>
      </c>
      <c r="C154" s="255">
        <v>240000</v>
      </c>
      <c r="D154" s="260"/>
      <c r="E154" s="260"/>
      <c r="F154" s="260"/>
      <c r="G154" s="260"/>
      <c r="H154" s="260"/>
      <c r="I154" s="260"/>
      <c r="J154" s="260"/>
      <c r="K154" s="260"/>
      <c r="L154" s="105">
        <v>240000</v>
      </c>
      <c r="M154" s="214"/>
      <c r="N154" s="255">
        <f>SUM(O154:W154)</f>
        <v>221160</v>
      </c>
      <c r="O154" s="260"/>
      <c r="P154" s="260"/>
      <c r="Q154" s="260"/>
      <c r="R154" s="260"/>
      <c r="S154" s="260"/>
      <c r="T154" s="260"/>
      <c r="U154" s="260"/>
      <c r="V154" s="260"/>
      <c r="W154" s="105">
        <f>221161-1</f>
        <v>221160</v>
      </c>
      <c r="X154" s="425">
        <f t="shared" si="46"/>
        <v>92.15</v>
      </c>
      <c r="Y154" s="425" t="str">
        <f t="shared" si="47"/>
        <v>-</v>
      </c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</row>
    <row r="155" spans="1:42" ht="13.5" customHeight="1" thickBot="1" x14ac:dyDescent="0.25">
      <c r="A155" s="303"/>
      <c r="B155" s="240"/>
      <c r="C155" s="261"/>
      <c r="D155" s="241"/>
      <c r="E155" s="241"/>
      <c r="F155" s="241"/>
      <c r="G155" s="241"/>
      <c r="H155" s="241"/>
      <c r="I155" s="241"/>
      <c r="J155" s="241"/>
      <c r="K155" s="241"/>
      <c r="L155" s="241"/>
      <c r="M155" s="214"/>
      <c r="N155" s="261"/>
      <c r="O155" s="241"/>
      <c r="P155" s="241"/>
      <c r="Q155" s="241"/>
      <c r="R155" s="241"/>
      <c r="S155" s="241"/>
      <c r="T155" s="241"/>
      <c r="U155" s="241"/>
      <c r="V155" s="241"/>
      <c r="W155" s="241"/>
      <c r="X155" s="426"/>
      <c r="Y155" s="426" t="str">
        <f>IF(D155=0,"-",O155/D155)</f>
        <v>-</v>
      </c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s="5" customFormat="1" ht="15.75" x14ac:dyDescent="0.25">
      <c r="A156" s="321" t="s">
        <v>271</v>
      </c>
      <c r="B156" s="237" t="s">
        <v>198</v>
      </c>
      <c r="C156" s="262">
        <v>1065362</v>
      </c>
      <c r="D156" s="194">
        <v>57321</v>
      </c>
      <c r="E156" s="195">
        <v>824880</v>
      </c>
      <c r="F156" s="196"/>
      <c r="G156" s="196"/>
      <c r="H156" s="238"/>
      <c r="I156" s="238"/>
      <c r="J156" s="238"/>
      <c r="K156" s="238">
        <v>183161</v>
      </c>
      <c r="L156" s="239"/>
      <c r="M156" s="214"/>
      <c r="N156" s="262">
        <f t="shared" si="61"/>
        <v>1168735</v>
      </c>
      <c r="O156" s="194">
        <v>72827</v>
      </c>
      <c r="P156" s="195">
        <v>1012575</v>
      </c>
      <c r="Q156" s="196"/>
      <c r="R156" s="196"/>
      <c r="S156" s="196"/>
      <c r="T156" s="238"/>
      <c r="U156" s="238"/>
      <c r="V156" s="238">
        <v>83333</v>
      </c>
      <c r="W156" s="239"/>
      <c r="X156" s="419">
        <f t="shared" ref="X156:X163" si="66">IF(C156=0,"-",N156/C156*100)</f>
        <v>109.70308683808885</v>
      </c>
      <c r="Y156" s="419">
        <f t="shared" ref="Y156:Y163" si="67">IF(D156=0,"-",O156/D156*100)</f>
        <v>127.05116798381046</v>
      </c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s="5" customFormat="1" ht="15.75" x14ac:dyDescent="0.25">
      <c r="A157" s="279"/>
      <c r="B157" s="123" t="s">
        <v>199</v>
      </c>
      <c r="C157" s="133">
        <v>1126434</v>
      </c>
      <c r="D157" s="120">
        <v>57321</v>
      </c>
      <c r="E157" s="121">
        <v>747724</v>
      </c>
      <c r="F157" s="122">
        <v>0</v>
      </c>
      <c r="G157" s="122">
        <v>0</v>
      </c>
      <c r="H157" s="122">
        <v>0</v>
      </c>
      <c r="I157" s="122">
        <v>296789</v>
      </c>
      <c r="J157" s="122">
        <v>0</v>
      </c>
      <c r="K157" s="122">
        <v>13000</v>
      </c>
      <c r="L157" s="120">
        <v>11600</v>
      </c>
      <c r="M157" s="214"/>
      <c r="N157" s="133">
        <f>SUM(O157:W157)</f>
        <v>1030573</v>
      </c>
      <c r="O157" s="120">
        <f t="shared" ref="O157:W157" si="68">SUM(O159:O163)</f>
        <v>98714</v>
      </c>
      <c r="P157" s="121">
        <f t="shared" si="68"/>
        <v>635422</v>
      </c>
      <c r="Q157" s="122">
        <f t="shared" si="68"/>
        <v>0</v>
      </c>
      <c r="R157" s="122">
        <f t="shared" si="68"/>
        <v>0</v>
      </c>
      <c r="S157" s="122">
        <f t="shared" si="68"/>
        <v>545</v>
      </c>
      <c r="T157" s="122">
        <f t="shared" si="68"/>
        <v>207509</v>
      </c>
      <c r="U157" s="122">
        <f t="shared" si="68"/>
        <v>0</v>
      </c>
      <c r="V157" s="122">
        <f t="shared" si="68"/>
        <v>88383</v>
      </c>
      <c r="W157" s="120">
        <f t="shared" si="68"/>
        <v>0</v>
      </c>
      <c r="X157" s="419">
        <f t="shared" si="66"/>
        <v>91.489869801515226</v>
      </c>
      <c r="Y157" s="419">
        <f t="shared" si="67"/>
        <v>172.21262713490694</v>
      </c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s="5" customFormat="1" ht="16.5" thickBot="1" x14ac:dyDescent="0.3">
      <c r="A158" s="304"/>
      <c r="B158" s="246" t="s">
        <v>200</v>
      </c>
      <c r="C158" s="263">
        <v>-61072</v>
      </c>
      <c r="D158" s="248">
        <v>0</v>
      </c>
      <c r="E158" s="248">
        <v>77156</v>
      </c>
      <c r="F158" s="248">
        <v>0</v>
      </c>
      <c r="G158" s="248">
        <v>0</v>
      </c>
      <c r="H158" s="248">
        <v>0</v>
      </c>
      <c r="I158" s="248">
        <v>-296789</v>
      </c>
      <c r="J158" s="248">
        <v>0</v>
      </c>
      <c r="K158" s="248">
        <v>170161</v>
      </c>
      <c r="L158" s="247">
        <v>-11600</v>
      </c>
      <c r="M158" s="214"/>
      <c r="N158" s="263">
        <f>N156-N157</f>
        <v>138162</v>
      </c>
      <c r="O158" s="248">
        <f t="shared" ref="O158:W158" si="69">O156-O157</f>
        <v>-25887</v>
      </c>
      <c r="P158" s="248">
        <f t="shared" si="69"/>
        <v>377153</v>
      </c>
      <c r="Q158" s="248">
        <f>Q156-Q157</f>
        <v>0</v>
      </c>
      <c r="R158" s="248">
        <f t="shared" si="69"/>
        <v>0</v>
      </c>
      <c r="S158" s="248">
        <f>S156-S157</f>
        <v>-545</v>
      </c>
      <c r="T158" s="248">
        <f t="shared" si="69"/>
        <v>-207509</v>
      </c>
      <c r="U158" s="248">
        <f>U156-U157</f>
        <v>0</v>
      </c>
      <c r="V158" s="248">
        <f>V156-V157</f>
        <v>-5050</v>
      </c>
      <c r="W158" s="247">
        <f t="shared" si="69"/>
        <v>0</v>
      </c>
      <c r="X158" s="419">
        <f t="shared" si="66"/>
        <v>-226.22805868483101</v>
      </c>
      <c r="Y158" s="419" t="str">
        <f t="shared" si="67"/>
        <v>-</v>
      </c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s="3" customFormat="1" ht="14.25" x14ac:dyDescent="0.2">
      <c r="A159" s="305" t="s">
        <v>353</v>
      </c>
      <c r="B159" s="124" t="s">
        <v>266</v>
      </c>
      <c r="C159" s="256">
        <v>0</v>
      </c>
      <c r="D159" s="243"/>
      <c r="E159" s="242"/>
      <c r="F159" s="242"/>
      <c r="G159" s="244"/>
      <c r="H159" s="244"/>
      <c r="I159" s="244"/>
      <c r="J159" s="244"/>
      <c r="K159" s="244"/>
      <c r="L159" s="245"/>
      <c r="M159" s="214"/>
      <c r="N159" s="264">
        <f t="shared" si="61"/>
        <v>172704</v>
      </c>
      <c r="O159" s="243"/>
      <c r="P159" s="79">
        <v>135209</v>
      </c>
      <c r="Q159" s="79"/>
      <c r="R159" s="244"/>
      <c r="S159" s="244">
        <v>196</v>
      </c>
      <c r="T159" s="244">
        <v>15089</v>
      </c>
      <c r="U159" s="244"/>
      <c r="V159" s="244">
        <f>8850+13360</f>
        <v>22210</v>
      </c>
      <c r="W159" s="245"/>
      <c r="X159" s="419" t="str">
        <f t="shared" si="66"/>
        <v>-</v>
      </c>
      <c r="Y159" s="419" t="str">
        <f t="shared" si="67"/>
        <v>-</v>
      </c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s="3" customFormat="1" ht="14.25" x14ac:dyDescent="0.2">
      <c r="A160" s="306" t="s">
        <v>354</v>
      </c>
      <c r="B160" s="64" t="s">
        <v>278</v>
      </c>
      <c r="C160" s="63">
        <v>1090434</v>
      </c>
      <c r="D160" s="79">
        <v>32121</v>
      </c>
      <c r="E160" s="79">
        <v>747724</v>
      </c>
      <c r="F160" s="79"/>
      <c r="G160" s="79"/>
      <c r="H160" s="79"/>
      <c r="I160" s="45">
        <v>285989</v>
      </c>
      <c r="J160" s="45"/>
      <c r="K160" s="45">
        <v>13000</v>
      </c>
      <c r="L160" s="47">
        <v>11600</v>
      </c>
      <c r="M160" s="214"/>
      <c r="N160" s="129">
        <f t="shared" si="61"/>
        <v>811286</v>
      </c>
      <c r="O160" s="79">
        <v>98714</v>
      </c>
      <c r="P160" s="79">
        <f>635422-135209</f>
        <v>500213</v>
      </c>
      <c r="Q160" s="79"/>
      <c r="R160" s="79"/>
      <c r="S160" s="79">
        <v>349</v>
      </c>
      <c r="T160" s="79">
        <f>190930+1490</f>
        <v>192420</v>
      </c>
      <c r="U160" s="79"/>
      <c r="V160" s="79">
        <v>19590</v>
      </c>
      <c r="W160" s="79"/>
      <c r="X160" s="419">
        <f t="shared" si="66"/>
        <v>74.400284657301583</v>
      </c>
      <c r="Y160" s="419">
        <f t="shared" si="67"/>
        <v>307.31919927773106</v>
      </c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s="3" customFormat="1" ht="14.25" x14ac:dyDescent="0.2">
      <c r="A161" s="306" t="s">
        <v>355</v>
      </c>
      <c r="B161" s="7" t="s">
        <v>11</v>
      </c>
      <c r="C161" s="324">
        <v>36000</v>
      </c>
      <c r="D161" s="45">
        <v>25200</v>
      </c>
      <c r="E161" s="45"/>
      <c r="F161" s="45"/>
      <c r="G161" s="45"/>
      <c r="H161" s="45"/>
      <c r="I161" s="45">
        <v>10800</v>
      </c>
      <c r="J161" s="45"/>
      <c r="K161" s="45"/>
      <c r="L161" s="47"/>
      <c r="M161" s="214"/>
      <c r="N161" s="129">
        <f t="shared" si="61"/>
        <v>46583</v>
      </c>
      <c r="O161" s="45"/>
      <c r="P161" s="45"/>
      <c r="Q161" s="45"/>
      <c r="R161" s="45"/>
      <c r="S161" s="45"/>
      <c r="T161" s="45"/>
      <c r="U161" s="45"/>
      <c r="V161" s="45">
        <f>46589-6</f>
        <v>46583</v>
      </c>
      <c r="W161" s="47"/>
      <c r="X161" s="419">
        <f t="shared" si="66"/>
        <v>129.39722222222224</v>
      </c>
      <c r="Y161" s="419">
        <f t="shared" si="67"/>
        <v>0</v>
      </c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s="3" customFormat="1" ht="14.25" x14ac:dyDescent="0.2">
      <c r="A162" s="306" t="s">
        <v>356</v>
      </c>
      <c r="B162" s="7" t="s">
        <v>16</v>
      </c>
      <c r="C162" s="63">
        <v>0</v>
      </c>
      <c r="D162" s="229"/>
      <c r="E162" s="79"/>
      <c r="F162" s="79"/>
      <c r="G162" s="79"/>
      <c r="H162" s="79"/>
      <c r="I162" s="45"/>
      <c r="J162" s="45"/>
      <c r="K162" s="45"/>
      <c r="L162" s="47"/>
      <c r="M162" s="214"/>
      <c r="N162" s="129">
        <f t="shared" si="61"/>
        <v>0</v>
      </c>
      <c r="O162" s="229"/>
      <c r="P162" s="79"/>
      <c r="Q162" s="79"/>
      <c r="R162" s="79"/>
      <c r="S162" s="79"/>
      <c r="T162" s="45"/>
      <c r="U162" s="45"/>
      <c r="V162" s="45"/>
      <c r="W162" s="47"/>
      <c r="X162" s="419" t="str">
        <f t="shared" si="66"/>
        <v>-</v>
      </c>
      <c r="Y162" s="419" t="str">
        <f t="shared" si="67"/>
        <v>-</v>
      </c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s="3" customFormat="1" ht="15" customHeight="1" x14ac:dyDescent="0.2">
      <c r="A163" s="307" t="s">
        <v>357</v>
      </c>
      <c r="B163" s="249" t="s">
        <v>17</v>
      </c>
      <c r="C163" s="325">
        <v>0</v>
      </c>
      <c r="D163" s="415"/>
      <c r="E163" s="250"/>
      <c r="F163" s="250"/>
      <c r="G163" s="250"/>
      <c r="H163" s="250"/>
      <c r="I163" s="250"/>
      <c r="J163" s="250"/>
      <c r="K163" s="250"/>
      <c r="L163" s="251"/>
      <c r="M163" s="252"/>
      <c r="N163" s="82">
        <f t="shared" si="61"/>
        <v>0</v>
      </c>
      <c r="O163" s="415"/>
      <c r="P163" s="250"/>
      <c r="Q163" s="250"/>
      <c r="R163" s="250"/>
      <c r="S163" s="250"/>
      <c r="T163" s="250"/>
      <c r="U163" s="250"/>
      <c r="V163" s="250"/>
      <c r="W163" s="251"/>
      <c r="X163" s="427" t="str">
        <f t="shared" si="66"/>
        <v>-</v>
      </c>
      <c r="Y163" s="427" t="str">
        <f t="shared" si="67"/>
        <v>-</v>
      </c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x14ac:dyDescent="0.2">
      <c r="C164" s="331"/>
      <c r="D164" s="331"/>
      <c r="E164" s="331"/>
      <c r="F164" s="331"/>
      <c r="G164" s="331"/>
      <c r="H164" s="331"/>
      <c r="I164" s="331"/>
      <c r="J164" s="331"/>
      <c r="K164" s="331"/>
      <c r="L164" s="331"/>
      <c r="M164" s="372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0"/>
      <c r="Y164" s="330"/>
    </row>
    <row r="165" spans="1:42" x14ac:dyDescent="0.2">
      <c r="C165" s="331"/>
      <c r="D165" s="331"/>
      <c r="E165" s="331"/>
      <c r="F165" s="331"/>
      <c r="G165" s="331"/>
      <c r="H165" s="331"/>
      <c r="I165" s="331"/>
      <c r="J165" s="331"/>
      <c r="K165" s="331"/>
      <c r="L165" s="331"/>
      <c r="M165" s="372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0"/>
      <c r="Y165" s="330"/>
    </row>
    <row r="166" spans="1:42" x14ac:dyDescent="0.2">
      <c r="A166" s="150" t="s">
        <v>30</v>
      </c>
      <c r="B166" s="13"/>
      <c r="C166" s="371"/>
      <c r="D166" s="371"/>
      <c r="E166" s="371"/>
      <c r="F166" s="331"/>
      <c r="G166" s="331"/>
      <c r="H166" s="331"/>
      <c r="I166" s="331"/>
      <c r="J166" s="331"/>
      <c r="K166" s="331"/>
      <c r="L166" s="331"/>
      <c r="M166" s="372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0"/>
      <c r="Y166" s="330"/>
    </row>
    <row r="167" spans="1:42" x14ac:dyDescent="0.2">
      <c r="A167" s="13"/>
      <c r="B167" s="13"/>
      <c r="C167" s="371"/>
      <c r="D167" s="371"/>
      <c r="E167" s="371"/>
      <c r="F167" s="331"/>
      <c r="G167" s="331"/>
      <c r="H167" s="331"/>
      <c r="I167" s="331"/>
      <c r="J167" s="331"/>
      <c r="K167" s="331"/>
      <c r="L167" s="331"/>
      <c r="M167" s="372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0"/>
      <c r="Y167" s="330"/>
    </row>
    <row r="168" spans="1:42" x14ac:dyDescent="0.2">
      <c r="A168" s="556" t="str">
        <f>Članica!A15</f>
        <v>Ljubljana, 29.02.2012</v>
      </c>
      <c r="B168" s="557"/>
      <c r="C168" s="371"/>
      <c r="D168" s="371"/>
      <c r="E168" s="371"/>
      <c r="F168" s="331"/>
      <c r="G168" s="331"/>
      <c r="H168" s="331"/>
      <c r="I168" s="331"/>
      <c r="J168" s="331"/>
      <c r="K168" s="331"/>
      <c r="L168" s="331"/>
      <c r="M168" s="372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0"/>
      <c r="Y168" s="330"/>
    </row>
    <row r="169" spans="1:42" x14ac:dyDescent="0.2">
      <c r="A169" s="227"/>
      <c r="B169" s="227"/>
      <c r="C169" s="371"/>
      <c r="D169" s="371"/>
      <c r="E169" s="371"/>
      <c r="F169" s="331"/>
      <c r="G169" s="331"/>
      <c r="H169" s="331"/>
      <c r="I169" s="331"/>
      <c r="J169" s="331"/>
      <c r="K169" s="331"/>
      <c r="L169" s="331"/>
      <c r="M169" s="372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0"/>
      <c r="Y169" s="330"/>
    </row>
    <row r="170" spans="1:42" x14ac:dyDescent="0.2">
      <c r="A170" s="568" t="s">
        <v>32</v>
      </c>
      <c r="B170" s="568"/>
      <c r="C170" s="42" t="s">
        <v>36</v>
      </c>
      <c r="D170" s="13"/>
      <c r="E170" s="13" t="s">
        <v>207</v>
      </c>
    </row>
    <row r="171" spans="1:42" x14ac:dyDescent="0.2">
      <c r="A171" s="227"/>
      <c r="B171" s="227"/>
      <c r="C171" s="13"/>
      <c r="D171" s="13"/>
      <c r="E171" s="13"/>
    </row>
    <row r="172" spans="1:42" x14ac:dyDescent="0.2">
      <c r="A172" s="556" t="str">
        <f>Članica!A21</f>
        <v>Ljudmila Obreza, dipl,ekon.</v>
      </c>
      <c r="B172" s="557"/>
      <c r="C172" s="13"/>
      <c r="D172" s="13"/>
      <c r="E172" s="226" t="str">
        <f>Članica!C21</f>
        <v>Prof.dr. Anton Meden, dekan</v>
      </c>
    </row>
  </sheetData>
  <sheetProtection password="CDEB" sheet="1"/>
  <mergeCells count="11">
    <mergeCell ref="Y7:Y10"/>
    <mergeCell ref="A168:B168"/>
    <mergeCell ref="A170:B170"/>
    <mergeCell ref="A172:B172"/>
    <mergeCell ref="C9:C10"/>
    <mergeCell ref="C7:L8"/>
    <mergeCell ref="X7:X10"/>
    <mergeCell ref="O9:W9"/>
    <mergeCell ref="N7:W8"/>
    <mergeCell ref="D9:L9"/>
    <mergeCell ref="N9:N10"/>
  </mergeCells>
  <phoneticPr fontId="2" type="noConversion"/>
  <conditionalFormatting sqref="C156:L163 N156:W163 N25:W27 C21:L23 C25:L27 C29:L154 N21:W23 N29:W154 D13:L14 N17:W19 C17:L19 C13:C15 O13:W14">
    <cfRule type="containsText" dxfId="13" priority="17" stopIfTrue="1" operator="containsText" text=",">
      <formula>NOT(ISERROR(SEARCH(",",C13)))</formula>
    </cfRule>
  </conditionalFormatting>
  <conditionalFormatting sqref="T152:V152 I152:K152 T145:V145 I145:K145">
    <cfRule type="containsText" priority="16" stopIfTrue="1" operator="containsText" text="PROSIM UPORABITE CELO ŠTEVILO">
      <formula>NOT(ISERROR(SEARCH("PROSIM UPORABITE CELO ŠTEVILO",I145)))</formula>
    </cfRule>
  </conditionalFormatting>
  <conditionalFormatting sqref="O13:W13">
    <cfRule type="dataBar" priority="6">
      <dataBar>
        <cfvo type="min"/>
        <cfvo type="max"/>
        <color rgb="FF638EC6"/>
      </dataBar>
    </cfRule>
  </conditionalFormatting>
  <conditionalFormatting sqref="O14:W14">
    <cfRule type="dataBar" priority="5">
      <dataBar>
        <cfvo type="min"/>
        <cfvo type="max"/>
        <color rgb="FFFF555A"/>
      </dataBar>
    </cfRule>
  </conditionalFormatting>
  <conditionalFormatting sqref="D13:L13">
    <cfRule type="dataBar" priority="3">
      <dataBar>
        <cfvo type="min"/>
        <cfvo type="max"/>
        <color rgb="FF638EC6"/>
      </dataBar>
    </cfRule>
  </conditionalFormatting>
  <conditionalFormatting sqref="D14:L14">
    <cfRule type="dataBar" priority="2">
      <dataBar>
        <cfvo type="min"/>
        <cfvo type="max"/>
        <color rgb="FFFF555A"/>
      </dataBar>
    </cfRule>
  </conditionalFormatting>
  <dataValidations count="2">
    <dataValidation type="whole" operator="greaterThanOrEqual" allowBlank="1" showInputMessage="1" showErrorMessage="1" error="DECIMALKA NI DOVOLJENA !" sqref="C13:L163">
      <formula1>0</formula1>
    </dataValidation>
    <dataValidation type="whole" allowBlank="1" showInputMessage="1" showErrorMessage="1" error="DECIMALKA NI DOVOLJENA!" sqref="N13:W163">
      <formula1>0</formula1>
      <formula2>10000000000</formula2>
    </dataValidation>
  </dataValidations>
  <printOptions horizontalCentered="1"/>
  <pageMargins left="0.17" right="0.39370078740157483" top="0.25" bottom="0.86" header="0.17" footer="0"/>
  <pageSetup paperSize="9" scale="32" fitToHeight="2" orientation="landscape" cellComments="asDisplayed" r:id="rId1"/>
  <headerFooter alignWithMargins="0"/>
  <rowBreaks count="1" manualBreakCount="1">
    <brk id="87" max="24" man="1"/>
  </rowBreaks>
  <cellWatches>
    <cellWatch r="B13"/>
    <cellWatch r="C13"/>
    <cellWatch r="D13"/>
    <cellWatch r="E13"/>
    <cellWatch r="F13"/>
    <cellWatch r="G13"/>
    <cellWatch r="H13"/>
    <cellWatch r="I13"/>
    <cellWatch r="J13"/>
    <cellWatch r="K13"/>
    <cellWatch r="L13"/>
    <cellWatch r="B14"/>
    <cellWatch r="C14"/>
    <cellWatch r="D14"/>
    <cellWatch r="E14"/>
    <cellWatch r="F14"/>
    <cellWatch r="G14"/>
    <cellWatch r="H14"/>
    <cellWatch r="I14"/>
    <cellWatch r="J14"/>
    <cellWatch r="K14"/>
    <cellWatch r="L14"/>
    <cellWatch r="B15"/>
    <cellWatch r="C15"/>
    <cellWatch r="D15"/>
    <cellWatch r="E15"/>
    <cellWatch r="F15"/>
    <cellWatch r="G15"/>
    <cellWatch r="H15"/>
    <cellWatch r="I15"/>
    <cellWatch r="J15"/>
    <cellWatch r="K15"/>
    <cellWatch r="L15"/>
  </cellWatch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P30"/>
  <sheetViews>
    <sheetView view="pageBreakPreview" topLeftCell="A6" zoomScale="70" zoomScaleNormal="100" zoomScaleSheetLayoutView="70" workbookViewId="0">
      <selection activeCell="C10" sqref="C10"/>
    </sheetView>
  </sheetViews>
  <sheetFormatPr defaultRowHeight="12.75" x14ac:dyDescent="0.2"/>
  <cols>
    <col min="1" max="1" width="15.85546875" style="503" customWidth="1"/>
    <col min="2" max="2" width="46.42578125" style="503" customWidth="1"/>
    <col min="3" max="3" width="101" style="333" bestFit="1" customWidth="1"/>
    <col min="4" max="9" width="9.140625" style="333"/>
    <col min="10" max="10" width="43.85546875" style="333" customWidth="1"/>
    <col min="11" max="16384" width="9.140625" style="333"/>
  </cols>
  <sheetData>
    <row r="1" spans="1:42" s="331" customFormat="1" ht="18" x14ac:dyDescent="0.25">
      <c r="A1" s="489" t="s">
        <v>376</v>
      </c>
      <c r="B1" s="489" t="s">
        <v>384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372"/>
      <c r="N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</row>
    <row r="4" spans="1:42" ht="15.75" x14ac:dyDescent="0.25">
      <c r="A4" s="268" t="s">
        <v>35</v>
      </c>
      <c r="B4" s="267" t="str">
        <f>Članica!B8</f>
        <v>FAKULTETA ZA KEMIJO IN KEMIJSKO TEHNOLOGIJO</v>
      </c>
    </row>
    <row r="5" spans="1:42" ht="15.75" x14ac:dyDescent="0.25">
      <c r="A5" s="268"/>
      <c r="B5" s="267"/>
    </row>
    <row r="6" spans="1:42" ht="13.5" thickBot="1" x14ac:dyDescent="0.25"/>
    <row r="7" spans="1:42" s="490" customFormat="1" ht="54" customHeight="1" thickBot="1" x14ac:dyDescent="0.25">
      <c r="A7" s="547" t="s">
        <v>382</v>
      </c>
      <c r="B7" s="548" t="s">
        <v>383</v>
      </c>
      <c r="C7" s="549" t="s">
        <v>394</v>
      </c>
    </row>
    <row r="8" spans="1:42" s="492" customFormat="1" ht="60" customHeight="1" x14ac:dyDescent="0.2">
      <c r="A8" s="507" t="s">
        <v>414</v>
      </c>
      <c r="B8" s="508" t="s">
        <v>405</v>
      </c>
      <c r="C8" s="544" t="s">
        <v>404</v>
      </c>
    </row>
    <row r="9" spans="1:42" s="492" customFormat="1" ht="60" customHeight="1" x14ac:dyDescent="0.2">
      <c r="A9" s="504" t="s">
        <v>411</v>
      </c>
      <c r="B9" s="491" t="s">
        <v>412</v>
      </c>
      <c r="C9" s="544" t="s">
        <v>417</v>
      </c>
    </row>
    <row r="10" spans="1:42" s="492" customFormat="1" ht="60" customHeight="1" x14ac:dyDescent="0.2">
      <c r="A10" s="504" t="s">
        <v>413</v>
      </c>
      <c r="B10" s="491" t="s">
        <v>415</v>
      </c>
      <c r="C10" s="544" t="s">
        <v>416</v>
      </c>
    </row>
    <row r="11" spans="1:42" s="492" customFormat="1" ht="60" customHeight="1" x14ac:dyDescent="0.2">
      <c r="A11" s="504" t="s">
        <v>406</v>
      </c>
      <c r="B11" s="491" t="s">
        <v>407</v>
      </c>
      <c r="C11" s="544" t="s">
        <v>408</v>
      </c>
    </row>
    <row r="12" spans="1:42" s="492" customFormat="1" ht="60" customHeight="1" x14ac:dyDescent="0.2">
      <c r="A12" s="507" t="s">
        <v>401</v>
      </c>
      <c r="B12" s="508" t="s">
        <v>402</v>
      </c>
      <c r="C12" s="544" t="s">
        <v>403</v>
      </c>
    </row>
    <row r="13" spans="1:42" s="492" customFormat="1" ht="60" customHeight="1" x14ac:dyDescent="0.2">
      <c r="A13" s="504" t="s">
        <v>409</v>
      </c>
      <c r="B13" s="508" t="s">
        <v>402</v>
      </c>
      <c r="C13" s="544" t="s">
        <v>410</v>
      </c>
    </row>
    <row r="14" spans="1:42" s="492" customFormat="1" ht="60" customHeight="1" x14ac:dyDescent="0.2">
      <c r="A14" s="504"/>
      <c r="B14" s="491"/>
      <c r="C14" s="544"/>
    </row>
    <row r="15" spans="1:42" s="492" customFormat="1" ht="60" customHeight="1" x14ac:dyDescent="0.2">
      <c r="A15" s="504"/>
      <c r="B15" s="491"/>
      <c r="C15" s="544"/>
    </row>
    <row r="16" spans="1:42" s="492" customFormat="1" ht="60" customHeight="1" x14ac:dyDescent="0.2">
      <c r="A16" s="504"/>
      <c r="B16" s="491"/>
      <c r="C16" s="544"/>
    </row>
    <row r="17" spans="1:8" s="492" customFormat="1" ht="60" customHeight="1" x14ac:dyDescent="0.2">
      <c r="A17" s="504"/>
      <c r="B17" s="491"/>
      <c r="C17" s="544"/>
    </row>
    <row r="18" spans="1:8" s="492" customFormat="1" ht="60" customHeight="1" x14ac:dyDescent="0.2">
      <c r="A18" s="504"/>
      <c r="B18" s="491"/>
      <c r="C18" s="544"/>
    </row>
    <row r="19" spans="1:8" s="492" customFormat="1" ht="60" customHeight="1" x14ac:dyDescent="0.2">
      <c r="A19" s="504"/>
      <c r="B19" s="491"/>
      <c r="C19" s="544"/>
    </row>
    <row r="20" spans="1:8" s="492" customFormat="1" ht="60" customHeight="1" thickBot="1" x14ac:dyDescent="0.25">
      <c r="A20" s="505"/>
      <c r="B20" s="506"/>
      <c r="C20" s="545"/>
    </row>
    <row r="24" spans="1:8" s="496" customFormat="1" x14ac:dyDescent="0.2">
      <c r="A24" s="493"/>
      <c r="B24" s="494" t="s">
        <v>30</v>
      </c>
      <c r="C24" s="495"/>
      <c r="D24" s="371"/>
      <c r="E24" s="371"/>
      <c r="F24" s="371"/>
      <c r="G24" s="371"/>
      <c r="H24" s="331"/>
    </row>
    <row r="25" spans="1:8" s="496" customFormat="1" x14ac:dyDescent="0.2">
      <c r="A25" s="493"/>
      <c r="B25" s="497"/>
      <c r="C25" s="371"/>
      <c r="D25" s="371"/>
      <c r="E25" s="371"/>
      <c r="F25" s="371"/>
      <c r="G25" s="371"/>
      <c r="H25" s="331"/>
    </row>
    <row r="26" spans="1:8" s="496" customFormat="1" x14ac:dyDescent="0.2">
      <c r="A26" s="493"/>
      <c r="B26" s="498" t="str">
        <f>Članica!A15</f>
        <v>Ljubljana, 29.02.2012</v>
      </c>
      <c r="C26" s="498"/>
      <c r="D26" s="371"/>
      <c r="E26" s="371"/>
      <c r="F26" s="371"/>
      <c r="G26" s="371"/>
      <c r="H26" s="331"/>
    </row>
    <row r="27" spans="1:8" s="496" customFormat="1" x14ac:dyDescent="0.2">
      <c r="A27" s="493"/>
      <c r="B27" s="497"/>
      <c r="C27" s="371"/>
      <c r="D27" s="371"/>
      <c r="E27" s="371"/>
      <c r="F27" s="371"/>
      <c r="G27" s="371"/>
      <c r="H27" s="331"/>
    </row>
    <row r="28" spans="1:8" s="496" customFormat="1" x14ac:dyDescent="0.2">
      <c r="A28" s="493"/>
      <c r="B28" s="500" t="s">
        <v>32</v>
      </c>
      <c r="C28" s="501" t="s">
        <v>36</v>
      </c>
      <c r="D28" s="379"/>
      <c r="E28" s="379"/>
      <c r="F28" s="371"/>
      <c r="G28" s="371"/>
      <c r="H28" s="331"/>
    </row>
    <row r="29" spans="1:8" s="496" customFormat="1" x14ac:dyDescent="0.2">
      <c r="A29" s="493"/>
      <c r="B29" s="497"/>
      <c r="C29" s="371"/>
      <c r="D29" s="371"/>
      <c r="E29" s="371"/>
      <c r="F29" s="371"/>
      <c r="G29" s="371"/>
      <c r="H29" s="331"/>
    </row>
    <row r="30" spans="1:8" s="496" customFormat="1" x14ac:dyDescent="0.2">
      <c r="A30" s="493"/>
      <c r="B30" s="498" t="str">
        <f>Članica!A21</f>
        <v>Ljudmila Obreza, dipl,ekon.</v>
      </c>
      <c r="C30" s="499"/>
      <c r="D30" s="371"/>
      <c r="E30" s="371"/>
      <c r="F30" s="371"/>
      <c r="G30" s="502"/>
      <c r="H30" s="33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AE49"/>
  <sheetViews>
    <sheetView view="pageBreakPreview" topLeftCell="B6" zoomScale="70" zoomScaleNormal="60" zoomScaleSheetLayoutView="70" workbookViewId="0">
      <pane xSplit="2" ySplit="5" topLeftCell="D11" activePane="bottomRight" state="frozen"/>
      <selection activeCell="B6" sqref="B6"/>
      <selection pane="topRight" activeCell="D6" sqref="D6"/>
      <selection pane="bottomLeft" activeCell="B11" sqref="B11"/>
      <selection pane="bottomRight" activeCell="D13" sqref="D13"/>
    </sheetView>
  </sheetViews>
  <sheetFormatPr defaultRowHeight="14.25" x14ac:dyDescent="0.2"/>
  <cols>
    <col min="1" max="1" width="12.28515625" style="19" hidden="1" customWidth="1"/>
    <col min="2" max="2" width="42.140625" style="19" customWidth="1"/>
    <col min="3" max="3" width="32.85546875" style="19" customWidth="1"/>
    <col min="4" max="4" width="39.28515625" style="19" customWidth="1"/>
    <col min="5" max="5" width="18.85546875" style="19" bestFit="1" customWidth="1"/>
    <col min="6" max="6" width="13.85546875" style="19" customWidth="1"/>
    <col min="7" max="10" width="12.7109375" style="19" customWidth="1"/>
    <col min="11" max="11" width="14.42578125" style="19" customWidth="1"/>
    <col min="12" max="12" width="12.7109375" style="19" customWidth="1"/>
    <col min="13" max="13" width="14.140625" style="19" customWidth="1"/>
    <col min="14" max="15" width="12.7109375" style="19" customWidth="1"/>
    <col min="16" max="16384" width="9.140625" style="19"/>
  </cols>
  <sheetData>
    <row r="1" spans="1:31" s="2" customFormat="1" ht="18" customHeight="1" x14ac:dyDescent="0.25">
      <c r="B1" s="178" t="s">
        <v>385</v>
      </c>
      <c r="C1" s="178"/>
      <c r="D1" s="178"/>
      <c r="E1" s="178"/>
      <c r="F1" s="141"/>
      <c r="G1" s="14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2" customFormat="1" ht="18.75" customHeight="1" x14ac:dyDescent="0.25">
      <c r="B2" s="125"/>
      <c r="C2" s="178"/>
      <c r="D2" s="178"/>
      <c r="E2" s="178"/>
      <c r="F2" s="141"/>
      <c r="G2" s="14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2" customFormat="1" ht="18.75" customHeight="1" x14ac:dyDescent="0.25">
      <c r="B3" s="125"/>
      <c r="C3" s="125"/>
      <c r="D3" s="12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2" customFormat="1" ht="15" customHeight="1" x14ac:dyDescent="0.2">
      <c r="B4" s="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126" customFormat="1" ht="23.25" customHeight="1" x14ac:dyDescent="0.25">
      <c r="B5" s="43" t="s">
        <v>35</v>
      </c>
      <c r="C5" s="579" t="str">
        <f>Članica!B8</f>
        <v>FAKULTETA ZA KEMIJO IN KEMIJSKO TEHNOLOGIJO</v>
      </c>
      <c r="D5" s="579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</row>
    <row r="6" spans="1:31" s="126" customFormat="1" ht="27.75" customHeight="1" x14ac:dyDescent="0.25">
      <c r="B6" s="43"/>
      <c r="C6" s="43"/>
      <c r="D6" s="43"/>
      <c r="E6" s="583" t="s">
        <v>380</v>
      </c>
      <c r="F6" s="584"/>
      <c r="G6" s="584"/>
      <c r="H6" s="584"/>
      <c r="I6" s="584"/>
      <c r="J6" s="584"/>
      <c r="K6" s="584"/>
      <c r="L6" s="584"/>
      <c r="M6" s="584"/>
      <c r="N6" s="584"/>
      <c r="O6" s="585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31" s="126" customFormat="1" ht="15" customHeight="1" x14ac:dyDescent="0.25">
      <c r="B7" s="43"/>
      <c r="C7" s="43"/>
      <c r="D7" s="43"/>
      <c r="E7" s="179"/>
      <c r="F7" s="586" t="s">
        <v>237</v>
      </c>
      <c r="G7" s="587"/>
      <c r="H7" s="587"/>
      <c r="I7" s="587"/>
      <c r="J7" s="587"/>
      <c r="K7" s="587"/>
      <c r="L7" s="587"/>
      <c r="M7" s="587"/>
      <c r="N7" s="587"/>
      <c r="O7" s="588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spans="1:31" s="126" customFormat="1" ht="92.25" customHeight="1" x14ac:dyDescent="0.25">
      <c r="B8" s="43"/>
      <c r="C8" s="43"/>
      <c r="D8" s="43"/>
      <c r="E8" s="180" t="s">
        <v>19</v>
      </c>
      <c r="F8" s="181" t="s">
        <v>368</v>
      </c>
      <c r="G8" s="181" t="s">
        <v>369</v>
      </c>
      <c r="H8" s="181" t="s">
        <v>218</v>
      </c>
      <c r="I8" s="181" t="s">
        <v>248</v>
      </c>
      <c r="J8" s="181" t="s">
        <v>249</v>
      </c>
      <c r="K8" s="181" t="s">
        <v>360</v>
      </c>
      <c r="L8" s="181" t="s">
        <v>358</v>
      </c>
      <c r="M8" s="181" t="s">
        <v>361</v>
      </c>
      <c r="N8" s="181" t="s">
        <v>26</v>
      </c>
      <c r="O8" s="182" t="s">
        <v>250</v>
      </c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spans="1:31" s="126" customFormat="1" ht="15" customHeight="1" x14ac:dyDescent="0.25">
      <c r="B9" s="43"/>
      <c r="C9" s="43"/>
      <c r="D9" s="43"/>
      <c r="E9" s="183" t="s">
        <v>270</v>
      </c>
      <c r="F9" s="183" t="s">
        <v>290</v>
      </c>
      <c r="G9" s="183" t="s">
        <v>351</v>
      </c>
      <c r="H9" s="184">
        <v>3</v>
      </c>
      <c r="I9" s="184">
        <v>4</v>
      </c>
      <c r="J9" s="184">
        <v>5</v>
      </c>
      <c r="K9" s="184">
        <v>6</v>
      </c>
      <c r="L9" s="184">
        <v>7</v>
      </c>
      <c r="M9" s="184">
        <v>8</v>
      </c>
      <c r="N9" s="184">
        <v>9</v>
      </c>
      <c r="O9" s="184">
        <v>10</v>
      </c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spans="1:31" s="485" customFormat="1" ht="31.5" customHeight="1" x14ac:dyDescent="0.2">
      <c r="A10" s="482" t="s">
        <v>348</v>
      </c>
      <c r="B10" s="482" t="s">
        <v>238</v>
      </c>
      <c r="C10" s="483" t="s">
        <v>27</v>
      </c>
      <c r="D10" s="484" t="s">
        <v>239</v>
      </c>
      <c r="E10" s="589" t="s">
        <v>240</v>
      </c>
      <c r="F10" s="590"/>
      <c r="G10" s="590"/>
      <c r="H10" s="590"/>
      <c r="I10" s="590"/>
      <c r="J10" s="590"/>
      <c r="K10" s="590"/>
      <c r="L10" s="590"/>
      <c r="M10" s="590"/>
      <c r="N10" s="590"/>
      <c r="O10" s="591"/>
    </row>
    <row r="11" spans="1:31" s="21" customFormat="1" ht="69.95" customHeight="1" x14ac:dyDescent="0.25">
      <c r="A11" s="313" t="str">
        <f t="shared" ref="A11:A26" si="0">$C$5</f>
        <v>FAKULTETA ZA KEMIJO IN KEMIJSKO TEHNOLOGIJO</v>
      </c>
      <c r="B11" s="185" t="s">
        <v>241</v>
      </c>
      <c r="C11" s="186" t="s">
        <v>261</v>
      </c>
      <c r="D11" s="313" t="s">
        <v>422</v>
      </c>
      <c r="E11" s="187">
        <f t="shared" ref="E11:E26" si="1">SUM(F11:O11)</f>
        <v>10164</v>
      </c>
      <c r="F11" s="79">
        <v>7592</v>
      </c>
      <c r="G11" s="188">
        <v>1424</v>
      </c>
      <c r="H11" s="188"/>
      <c r="I11" s="188"/>
      <c r="J11" s="188"/>
      <c r="K11" s="188"/>
      <c r="L11" s="188">
        <v>1148</v>
      </c>
      <c r="M11" s="188"/>
      <c r="N11" s="188"/>
      <c r="O11" s="189"/>
    </row>
    <row r="12" spans="1:31" s="21" customFormat="1" ht="69.95" customHeight="1" x14ac:dyDescent="0.25">
      <c r="A12" s="313" t="str">
        <f t="shared" si="0"/>
        <v>FAKULTETA ZA KEMIJO IN KEMIJSKO TEHNOLOGIJO</v>
      </c>
      <c r="B12" s="185" t="s">
        <v>241</v>
      </c>
      <c r="C12" s="186" t="s">
        <v>28</v>
      </c>
      <c r="D12" s="313" t="s">
        <v>424</v>
      </c>
      <c r="E12" s="187">
        <f t="shared" si="1"/>
        <v>114567</v>
      </c>
      <c r="F12" s="79">
        <v>6168</v>
      </c>
      <c r="G12" s="188">
        <v>28756</v>
      </c>
      <c r="H12" s="188">
        <v>32014</v>
      </c>
      <c r="I12" s="188"/>
      <c r="J12" s="188"/>
      <c r="K12" s="188">
        <v>349</v>
      </c>
      <c r="L12" s="188">
        <v>47280</v>
      </c>
      <c r="M12" s="188"/>
      <c r="N12" s="188"/>
      <c r="O12" s="188"/>
    </row>
    <row r="13" spans="1:31" s="21" customFormat="1" ht="69.95" customHeight="1" x14ac:dyDescent="0.25">
      <c r="A13" s="313" t="str">
        <f t="shared" si="0"/>
        <v>FAKULTETA ZA KEMIJO IN KEMIJSKO TEHNOLOGIJO</v>
      </c>
      <c r="B13" s="185" t="s">
        <v>241</v>
      </c>
      <c r="C13" s="186" t="s">
        <v>262</v>
      </c>
      <c r="D13" s="313" t="s">
        <v>425</v>
      </c>
      <c r="E13" s="187">
        <f t="shared" si="1"/>
        <v>521975</v>
      </c>
      <c r="F13" s="79">
        <v>80105</v>
      </c>
      <c r="G13" s="188">
        <v>61809</v>
      </c>
      <c r="H13" s="188">
        <v>239939</v>
      </c>
      <c r="I13" s="188"/>
      <c r="J13" s="188"/>
      <c r="K13" s="188"/>
      <c r="L13" s="188">
        <v>140122</v>
      </c>
      <c r="M13" s="188"/>
      <c r="N13" s="188"/>
      <c r="O13" s="188"/>
    </row>
    <row r="14" spans="1:31" s="21" customFormat="1" ht="69.95" customHeight="1" x14ac:dyDescent="0.25">
      <c r="A14" s="313" t="str">
        <f t="shared" si="0"/>
        <v>FAKULTETA ZA KEMIJO IN KEMIJSKO TEHNOLOGIJO</v>
      </c>
      <c r="B14" s="185" t="s">
        <v>241</v>
      </c>
      <c r="C14" s="186" t="s">
        <v>244</v>
      </c>
      <c r="D14" s="313" t="s">
        <v>420</v>
      </c>
      <c r="E14" s="187">
        <f t="shared" si="1"/>
        <v>55912</v>
      </c>
      <c r="F14" s="79"/>
      <c r="G14" s="188">
        <v>55912</v>
      </c>
      <c r="H14" s="188"/>
      <c r="I14" s="188"/>
      <c r="J14" s="188"/>
      <c r="K14" s="188"/>
      <c r="L14" s="188"/>
      <c r="M14" s="188"/>
      <c r="N14" s="188"/>
      <c r="O14" s="188"/>
    </row>
    <row r="15" spans="1:31" s="21" customFormat="1" ht="69.95" customHeight="1" x14ac:dyDescent="0.25">
      <c r="A15" s="313" t="str">
        <f t="shared" si="0"/>
        <v>FAKULTETA ZA KEMIJO IN KEMIJSKO TEHNOLOGIJO</v>
      </c>
      <c r="B15" s="185" t="s">
        <v>241</v>
      </c>
      <c r="C15" s="186" t="s">
        <v>263</v>
      </c>
      <c r="D15" s="313"/>
      <c r="E15" s="187">
        <f t="shared" si="1"/>
        <v>0</v>
      </c>
      <c r="F15" s="79"/>
      <c r="G15" s="188"/>
      <c r="H15" s="188"/>
      <c r="I15" s="188"/>
      <c r="J15" s="188"/>
      <c r="K15" s="188"/>
      <c r="L15" s="188"/>
      <c r="M15" s="188"/>
      <c r="N15" s="188"/>
      <c r="O15" s="188"/>
    </row>
    <row r="16" spans="1:31" s="21" customFormat="1" ht="69.95" customHeight="1" x14ac:dyDescent="0.25">
      <c r="A16" s="313" t="str">
        <f t="shared" si="0"/>
        <v>FAKULTETA ZA KEMIJO IN KEMIJSKO TEHNOLOGIJO</v>
      </c>
      <c r="B16" s="185" t="s">
        <v>242</v>
      </c>
      <c r="C16" s="186" t="s">
        <v>261</v>
      </c>
      <c r="D16" s="313" t="s">
        <v>418</v>
      </c>
      <c r="E16" s="187">
        <f t="shared" si="1"/>
        <v>4567</v>
      </c>
      <c r="F16" s="79"/>
      <c r="G16" s="188">
        <v>4567</v>
      </c>
      <c r="H16" s="188"/>
      <c r="I16" s="188"/>
      <c r="J16" s="188"/>
      <c r="K16" s="188"/>
      <c r="L16" s="188"/>
      <c r="M16" s="188"/>
      <c r="N16" s="188"/>
      <c r="O16" s="189"/>
    </row>
    <row r="17" spans="1:15" s="21" customFormat="1" ht="69.95" customHeight="1" x14ac:dyDescent="0.25">
      <c r="A17" s="313" t="str">
        <f t="shared" si="0"/>
        <v>FAKULTETA ZA KEMIJO IN KEMIJSKO TEHNOLOGIJO</v>
      </c>
      <c r="B17" s="185" t="s">
        <v>242</v>
      </c>
      <c r="C17" s="186" t="s">
        <v>28</v>
      </c>
      <c r="D17" s="313" t="s">
        <v>419</v>
      </c>
      <c r="E17" s="187">
        <f t="shared" si="1"/>
        <v>14717</v>
      </c>
      <c r="F17" s="79"/>
      <c r="G17" s="188">
        <v>14717</v>
      </c>
      <c r="H17" s="188"/>
      <c r="I17" s="188"/>
      <c r="J17" s="188"/>
      <c r="K17" s="188"/>
      <c r="L17" s="188"/>
      <c r="M17" s="188"/>
      <c r="N17" s="188"/>
      <c r="O17" s="188"/>
    </row>
    <row r="18" spans="1:15" s="21" customFormat="1" ht="69.95" customHeight="1" x14ac:dyDescent="0.25">
      <c r="A18" s="313" t="str">
        <f t="shared" si="0"/>
        <v>FAKULTETA ZA KEMIJO IN KEMIJSKO TEHNOLOGIJO</v>
      </c>
      <c r="B18" s="185" t="s">
        <v>242</v>
      </c>
      <c r="C18" s="186" t="s">
        <v>262</v>
      </c>
      <c r="D18" s="313" t="s">
        <v>423</v>
      </c>
      <c r="E18" s="187">
        <f t="shared" si="1"/>
        <v>341079</v>
      </c>
      <c r="F18" s="79"/>
      <c r="G18" s="188">
        <v>102461</v>
      </c>
      <c r="H18" s="188">
        <v>219028</v>
      </c>
      <c r="I18" s="188"/>
      <c r="J18" s="188"/>
      <c r="K18" s="188"/>
      <c r="L18" s="188"/>
      <c r="M18" s="188"/>
      <c r="N18" s="188">
        <v>19590</v>
      </c>
      <c r="O18" s="188"/>
    </row>
    <row r="19" spans="1:15" s="21" customFormat="1" ht="69.95" customHeight="1" x14ac:dyDescent="0.25">
      <c r="A19" s="313" t="str">
        <f t="shared" si="0"/>
        <v>FAKULTETA ZA KEMIJO IN KEMIJSKO TEHNOLOGIJO</v>
      </c>
      <c r="B19" s="185" t="s">
        <v>242</v>
      </c>
      <c r="C19" s="186" t="s">
        <v>244</v>
      </c>
      <c r="D19" s="313" t="s">
        <v>421</v>
      </c>
      <c r="E19" s="187">
        <f t="shared" si="1"/>
        <v>25232</v>
      </c>
      <c r="F19" s="79">
        <v>4849</v>
      </c>
      <c r="G19" s="188">
        <v>11402</v>
      </c>
      <c r="H19" s="188">
        <v>6266</v>
      </c>
      <c r="I19" s="188"/>
      <c r="J19" s="188"/>
      <c r="K19" s="188"/>
      <c r="L19" s="188">
        <v>2715</v>
      </c>
      <c r="M19" s="188"/>
      <c r="N19" s="188"/>
      <c r="O19" s="188"/>
    </row>
    <row r="20" spans="1:15" s="21" customFormat="1" ht="69.95" customHeight="1" x14ac:dyDescent="0.25">
      <c r="A20" s="313" t="str">
        <f t="shared" si="0"/>
        <v>FAKULTETA ZA KEMIJO IN KEMIJSKO TEHNOLOGIJO</v>
      </c>
      <c r="B20" s="185" t="s">
        <v>242</v>
      </c>
      <c r="C20" s="186" t="s">
        <v>263</v>
      </c>
      <c r="D20" s="313"/>
      <c r="E20" s="187">
        <f t="shared" si="1"/>
        <v>0</v>
      </c>
      <c r="F20" s="79"/>
      <c r="G20" s="188"/>
      <c r="H20" s="188"/>
      <c r="I20" s="188"/>
      <c r="J20" s="188"/>
      <c r="K20" s="188"/>
      <c r="L20" s="188"/>
      <c r="M20" s="188"/>
      <c r="N20" s="188"/>
      <c r="O20" s="188"/>
    </row>
    <row r="21" spans="1:15" s="21" customFormat="1" ht="69.95" customHeight="1" x14ac:dyDescent="0.25">
      <c r="A21" s="313" t="str">
        <f t="shared" si="0"/>
        <v>FAKULTETA ZA KEMIJO IN KEMIJSKO TEHNOLOGIJO</v>
      </c>
      <c r="B21" s="185" t="s">
        <v>243</v>
      </c>
      <c r="C21" s="186" t="s">
        <v>263</v>
      </c>
      <c r="D21" s="313" t="s">
        <v>426</v>
      </c>
      <c r="E21" s="187">
        <f t="shared" si="1"/>
        <v>47694</v>
      </c>
      <c r="F21" s="79"/>
      <c r="G21" s="188">
        <v>43573</v>
      </c>
      <c r="H21" s="188">
        <v>2966</v>
      </c>
      <c r="I21" s="188"/>
      <c r="J21" s="188"/>
      <c r="K21" s="188"/>
      <c r="L21" s="188">
        <v>1155</v>
      </c>
      <c r="M21" s="188"/>
      <c r="N21" s="188"/>
      <c r="O21" s="189"/>
    </row>
    <row r="22" spans="1:15" s="21" customFormat="1" ht="69.95" customHeight="1" x14ac:dyDescent="0.25">
      <c r="A22" s="313" t="str">
        <f t="shared" si="0"/>
        <v>FAKULTETA ZA KEMIJO IN KEMIJSKO TEHNOLOGIJO</v>
      </c>
      <c r="B22" s="185"/>
      <c r="C22" s="186"/>
      <c r="D22" s="313"/>
      <c r="E22" s="187">
        <f t="shared" si="1"/>
        <v>0</v>
      </c>
      <c r="F22" s="79"/>
      <c r="G22" s="188"/>
      <c r="H22" s="188"/>
      <c r="I22" s="188"/>
      <c r="J22" s="188"/>
      <c r="K22" s="188"/>
      <c r="L22" s="188"/>
      <c r="M22" s="188"/>
      <c r="N22" s="188"/>
      <c r="O22" s="188"/>
    </row>
    <row r="23" spans="1:15" s="21" customFormat="1" ht="69.95" customHeight="1" x14ac:dyDescent="0.25">
      <c r="A23" s="313" t="str">
        <f t="shared" si="0"/>
        <v>FAKULTETA ZA KEMIJO IN KEMIJSKO TEHNOLOGIJO</v>
      </c>
      <c r="B23" s="185"/>
      <c r="C23" s="186"/>
      <c r="D23" s="313"/>
      <c r="E23" s="187">
        <f t="shared" si="1"/>
        <v>0</v>
      </c>
      <c r="F23" s="79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1:15" s="21" customFormat="1" ht="69.95" customHeight="1" x14ac:dyDescent="0.25">
      <c r="A24" s="313" t="str">
        <f t="shared" si="0"/>
        <v>FAKULTETA ZA KEMIJO IN KEMIJSKO TEHNOLOGIJO</v>
      </c>
      <c r="B24" s="185"/>
      <c r="C24" s="186"/>
      <c r="D24" s="313"/>
      <c r="E24" s="187">
        <f t="shared" si="1"/>
        <v>0</v>
      </c>
      <c r="F24" s="79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15" s="21" customFormat="1" ht="69.95" customHeight="1" x14ac:dyDescent="0.25">
      <c r="A25" s="313" t="str">
        <f t="shared" si="0"/>
        <v>FAKULTETA ZA KEMIJO IN KEMIJSKO TEHNOLOGIJO</v>
      </c>
      <c r="B25" s="185"/>
      <c r="C25" s="186"/>
      <c r="D25" s="313"/>
      <c r="E25" s="187">
        <f t="shared" si="1"/>
        <v>0</v>
      </c>
      <c r="F25" s="79"/>
      <c r="G25" s="188"/>
      <c r="H25" s="188"/>
      <c r="I25" s="188"/>
      <c r="J25" s="188"/>
      <c r="K25" s="188"/>
      <c r="L25" s="188"/>
      <c r="M25" s="188"/>
      <c r="N25" s="188"/>
      <c r="O25" s="188"/>
    </row>
    <row r="26" spans="1:15" s="21" customFormat="1" ht="69.95" customHeight="1" x14ac:dyDescent="0.25">
      <c r="A26" s="313" t="str">
        <f t="shared" si="0"/>
        <v>FAKULTETA ZA KEMIJO IN KEMIJSKO TEHNOLOGIJO</v>
      </c>
      <c r="B26" s="185"/>
      <c r="C26" s="186"/>
      <c r="D26" s="313"/>
      <c r="E26" s="187">
        <f t="shared" si="1"/>
        <v>0</v>
      </c>
      <c r="F26" s="79"/>
      <c r="G26" s="188"/>
      <c r="H26" s="188"/>
      <c r="I26" s="188"/>
      <c r="J26" s="188"/>
      <c r="K26" s="188"/>
      <c r="L26" s="188"/>
      <c r="M26" s="188"/>
      <c r="N26" s="188"/>
      <c r="O26" s="188"/>
    </row>
    <row r="27" spans="1:15" ht="27" customHeight="1" x14ac:dyDescent="0.25">
      <c r="B27" s="190"/>
      <c r="C27" s="191"/>
      <c r="D27" s="191"/>
      <c r="E27" s="469">
        <f>SUM(E11:E26)</f>
        <v>1135907</v>
      </c>
      <c r="F27" s="469">
        <f t="shared" ref="F27:O27" si="2">SUM(F11:F26)</f>
        <v>98714</v>
      </c>
      <c r="G27" s="469">
        <f t="shared" si="2"/>
        <v>324621</v>
      </c>
      <c r="H27" s="469">
        <f t="shared" si="2"/>
        <v>500213</v>
      </c>
      <c r="I27" s="469">
        <f t="shared" si="2"/>
        <v>0</v>
      </c>
      <c r="J27" s="469">
        <f t="shared" si="2"/>
        <v>0</v>
      </c>
      <c r="K27" s="469">
        <f t="shared" si="2"/>
        <v>349</v>
      </c>
      <c r="L27" s="469">
        <f t="shared" si="2"/>
        <v>192420</v>
      </c>
      <c r="M27" s="469">
        <f t="shared" si="2"/>
        <v>0</v>
      </c>
      <c r="N27" s="469">
        <f t="shared" si="2"/>
        <v>19590</v>
      </c>
      <c r="O27" s="469">
        <f t="shared" si="2"/>
        <v>0</v>
      </c>
    </row>
    <row r="28" spans="1:15" ht="22.5" customHeight="1" x14ac:dyDescent="0.25">
      <c r="B28" s="190"/>
      <c r="C28" s="191"/>
      <c r="D28" s="191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</row>
    <row r="29" spans="1:15" ht="15.75" x14ac:dyDescent="0.25">
      <c r="B29" s="190"/>
      <c r="C29" s="191"/>
      <c r="D29" s="452" t="s">
        <v>370</v>
      </c>
      <c r="E29" s="451">
        <f>SUM(F29:O29)</f>
        <v>0</v>
      </c>
      <c r="F29" s="451">
        <f>'FN 2011-Realizacija 2011'!O160-F27</f>
        <v>0</v>
      </c>
      <c r="G29" s="451">
        <f>'FN 2011-Realizacija 2011'!O54-G27</f>
        <v>0</v>
      </c>
      <c r="H29" s="451">
        <f>'FN 2011-Realizacija 2011'!P160+'FN 2011-Realizacija 2011'!P54-H27</f>
        <v>0</v>
      </c>
      <c r="I29" s="451">
        <f>'FN 2011-Realizacija 2011'!Q160+'FN 2011-Realizacija 2011'!Q54-I27</f>
        <v>0</v>
      </c>
      <c r="J29" s="451">
        <f>'FN 2011-Realizacija 2011'!R160+'FN 2011-Realizacija 2011'!R54-J27</f>
        <v>0</v>
      </c>
      <c r="K29" s="451">
        <f>'FN 2011-Realizacija 2011'!S160+'FN 2011-Realizacija 2011'!S54-K27</f>
        <v>0</v>
      </c>
      <c r="L29" s="451">
        <f>'FN 2011-Realizacija 2011'!T160+'FN 2011-Realizacija 2011'!T54-L27</f>
        <v>0</v>
      </c>
      <c r="M29" s="451">
        <f>'FN 2011-Realizacija 2011'!U160+'FN 2011-Realizacija 2011'!U54-M27</f>
        <v>0</v>
      </c>
      <c r="N29" s="451">
        <f>'FN 2011-Realizacija 2011'!V160+'FN 2011-Realizacija 2011'!V54-N27</f>
        <v>0</v>
      </c>
      <c r="O29" s="451">
        <f>'FN 2011-Realizacija 2011'!W160+'FN 2011-Realizacija 2011'!W54-O27</f>
        <v>0</v>
      </c>
    </row>
    <row r="30" spans="1:15" s="21" customFormat="1" ht="15" x14ac:dyDescent="0.25">
      <c r="B30" s="471" t="s">
        <v>336</v>
      </c>
      <c r="C30" s="471"/>
      <c r="D30" s="471"/>
      <c r="E30" s="471"/>
      <c r="F30" s="471"/>
      <c r="G30" s="471"/>
      <c r="H30" s="471"/>
      <c r="I30" s="471"/>
      <c r="J30" s="471"/>
      <c r="K30" s="471"/>
    </row>
    <row r="31" spans="1:15" s="21" customFormat="1" ht="15.75" x14ac:dyDescent="0.25">
      <c r="B31" s="472" t="s">
        <v>241</v>
      </c>
      <c r="C31" s="473"/>
      <c r="D31" s="473"/>
    </row>
    <row r="32" spans="1:15" s="21" customFormat="1" ht="15.75" x14ac:dyDescent="0.25">
      <c r="B32" s="472" t="s">
        <v>242</v>
      </c>
      <c r="C32" s="474"/>
      <c r="D32" s="474"/>
      <c r="E32" s="475"/>
      <c r="F32" s="475"/>
      <c r="G32" s="475"/>
      <c r="H32" s="475"/>
      <c r="I32" s="475"/>
      <c r="J32" s="475"/>
      <c r="K32" s="475"/>
    </row>
    <row r="33" spans="2:11" s="21" customFormat="1" ht="15.75" x14ac:dyDescent="0.25">
      <c r="B33" s="472" t="s">
        <v>243</v>
      </c>
      <c r="C33" s="476"/>
      <c r="D33" s="476"/>
      <c r="E33" s="477"/>
      <c r="F33" s="477"/>
      <c r="G33" s="477"/>
      <c r="H33" s="477"/>
      <c r="I33" s="477"/>
      <c r="J33" s="477"/>
      <c r="K33" s="477"/>
    </row>
    <row r="34" spans="2:11" s="21" customFormat="1" ht="15.75" x14ac:dyDescent="0.25">
      <c r="B34" s="472"/>
      <c r="C34" s="476"/>
      <c r="D34" s="476"/>
      <c r="E34" s="477"/>
      <c r="F34" s="477"/>
      <c r="G34" s="477"/>
      <c r="H34" s="477"/>
      <c r="I34" s="477"/>
      <c r="J34" s="477"/>
      <c r="K34" s="477"/>
    </row>
    <row r="35" spans="2:11" s="480" customFormat="1" ht="15" x14ac:dyDescent="0.25">
      <c r="B35" s="478" t="s">
        <v>337</v>
      </c>
      <c r="C35" s="21" t="s">
        <v>261</v>
      </c>
      <c r="D35" s="479"/>
      <c r="E35" s="479"/>
      <c r="F35" s="479"/>
      <c r="G35" s="479"/>
      <c r="H35" s="479"/>
      <c r="I35" s="479"/>
      <c r="J35" s="479"/>
      <c r="K35" s="479"/>
    </row>
    <row r="36" spans="2:11" s="480" customFormat="1" ht="15" x14ac:dyDescent="0.25">
      <c r="B36" s="478"/>
      <c r="C36" s="477" t="s">
        <v>28</v>
      </c>
      <c r="D36" s="479"/>
      <c r="E36" s="479"/>
      <c r="F36" s="479"/>
      <c r="G36" s="479"/>
      <c r="H36" s="479"/>
      <c r="I36" s="479"/>
      <c r="J36" s="479"/>
      <c r="K36" s="479"/>
    </row>
    <row r="37" spans="2:11" s="480" customFormat="1" ht="15" x14ac:dyDescent="0.25">
      <c r="B37" s="481"/>
      <c r="C37" s="475" t="s">
        <v>262</v>
      </c>
      <c r="D37" s="479"/>
      <c r="E37" s="479"/>
      <c r="F37" s="479"/>
      <c r="G37" s="479"/>
      <c r="H37" s="479"/>
      <c r="I37" s="479"/>
      <c r="J37" s="479"/>
      <c r="K37" s="479"/>
    </row>
    <row r="38" spans="2:11" s="480" customFormat="1" ht="15" x14ac:dyDescent="0.25">
      <c r="B38" s="481"/>
      <c r="C38" s="477" t="s">
        <v>244</v>
      </c>
      <c r="D38" s="479"/>
      <c r="E38" s="479"/>
      <c r="F38" s="479"/>
      <c r="G38" s="479"/>
      <c r="H38" s="479"/>
      <c r="I38" s="479"/>
      <c r="J38" s="479"/>
      <c r="K38" s="479"/>
    </row>
    <row r="39" spans="2:11" s="480" customFormat="1" ht="15" x14ac:dyDescent="0.25">
      <c r="B39" s="481"/>
      <c r="C39" s="477" t="s">
        <v>263</v>
      </c>
      <c r="D39" s="479"/>
      <c r="E39" s="479"/>
      <c r="F39" s="479"/>
      <c r="G39" s="479"/>
      <c r="H39" s="479"/>
      <c r="I39" s="479"/>
      <c r="J39" s="479"/>
      <c r="K39" s="479"/>
    </row>
    <row r="40" spans="2:11" s="384" customFormat="1" x14ac:dyDescent="0.2">
      <c r="B40" s="383"/>
      <c r="D40" s="385"/>
      <c r="E40" s="385"/>
      <c r="F40" s="385"/>
      <c r="G40" s="385"/>
      <c r="H40" s="385"/>
      <c r="I40" s="385"/>
      <c r="J40" s="385"/>
      <c r="K40" s="385"/>
    </row>
    <row r="41" spans="2:11" s="384" customFormat="1" x14ac:dyDescent="0.2">
      <c r="B41" s="383"/>
      <c r="C41" s="22"/>
      <c r="D41" s="385"/>
      <c r="E41" s="385"/>
      <c r="F41" s="385"/>
      <c r="G41" s="385"/>
      <c r="H41" s="385"/>
      <c r="I41" s="385"/>
      <c r="J41" s="385"/>
      <c r="K41" s="385"/>
    </row>
    <row r="42" spans="2:11" s="384" customFormat="1" x14ac:dyDescent="0.2">
      <c r="B42" s="383"/>
      <c r="C42" s="22"/>
      <c r="D42" s="385"/>
      <c r="E42" s="385"/>
      <c r="F42" s="385"/>
      <c r="G42" s="385"/>
      <c r="H42" s="385"/>
      <c r="I42" s="385"/>
      <c r="J42" s="385"/>
      <c r="K42" s="385"/>
    </row>
    <row r="43" spans="2:11" x14ac:dyDescent="0.2">
      <c r="B43" s="14" t="s">
        <v>30</v>
      </c>
      <c r="C43" s="20"/>
      <c r="D43" s="20"/>
    </row>
    <row r="44" spans="2:11" x14ac:dyDescent="0.2">
      <c r="B44" s="2"/>
      <c r="C44" s="23"/>
      <c r="D44" s="20"/>
    </row>
    <row r="45" spans="2:11" x14ac:dyDescent="0.2">
      <c r="B45" s="580" t="str">
        <f>Članica!A15</f>
        <v>Ljubljana, 29.02.2012</v>
      </c>
      <c r="C45" s="581"/>
      <c r="D45" s="31"/>
    </row>
    <row r="46" spans="2:11" x14ac:dyDescent="0.2">
      <c r="B46" s="157"/>
      <c r="C46" s="192"/>
    </row>
    <row r="47" spans="2:11" x14ac:dyDescent="0.2">
      <c r="B47" s="157" t="s">
        <v>32</v>
      </c>
      <c r="C47" s="192"/>
      <c r="D47" s="19" t="s">
        <v>36</v>
      </c>
      <c r="E47" s="13" t="s">
        <v>207</v>
      </c>
    </row>
    <row r="48" spans="2:11" x14ac:dyDescent="0.2">
      <c r="B48" s="157"/>
      <c r="C48" s="192"/>
    </row>
    <row r="49" spans="2:11" x14ac:dyDescent="0.2">
      <c r="B49" s="580" t="str">
        <f>Članica!A21</f>
        <v>Ljudmila Obreza, dipl,ekon.</v>
      </c>
      <c r="C49" s="581"/>
      <c r="E49" s="582" t="str">
        <f>Članica!C21</f>
        <v>Prof.dr. Anton Meden, dekan</v>
      </c>
      <c r="F49" s="582"/>
      <c r="G49" s="582"/>
      <c r="H49" s="582"/>
      <c r="I49" s="311"/>
      <c r="J49" s="311"/>
      <c r="K49" s="311"/>
    </row>
  </sheetData>
  <sheetProtection password="CDEB" sheet="1"/>
  <mergeCells count="7">
    <mergeCell ref="C5:D5"/>
    <mergeCell ref="B49:C49"/>
    <mergeCell ref="E49:H49"/>
    <mergeCell ref="E6:O6"/>
    <mergeCell ref="F7:O7"/>
    <mergeCell ref="E10:O10"/>
    <mergeCell ref="B45:C45"/>
  </mergeCells>
  <phoneticPr fontId="0" type="noConversion"/>
  <conditionalFormatting sqref="F11:F26 E8:E26 D8:D10 E16:F25">
    <cfRule type="containsText" dxfId="12" priority="7" stopIfTrue="1" operator="containsText" text=",">
      <formula>NOT(ISERROR(SEARCH(",",D8)))</formula>
    </cfRule>
  </conditionalFormatting>
  <dataValidations count="4">
    <dataValidation type="whole" allowBlank="1" showInputMessage="1" showErrorMessage="1" error="DECIMALKE NISO DOVOLJENE!" sqref="F11:O26">
      <formula1>0</formula1>
      <formula2>1000000000</formula2>
    </dataValidation>
    <dataValidation type="list" allowBlank="1" showInputMessage="1" showErrorMessage="1" sqref="B11:B26">
      <formula1>$B$31:$B$33</formula1>
    </dataValidation>
    <dataValidation type="list" allowBlank="1" showInputMessage="1" showErrorMessage="1" sqref="C10">
      <formula1>$C$31:$C$37</formula1>
    </dataValidation>
    <dataValidation type="list" allowBlank="1" showInputMessage="1" showErrorMessage="1" sqref="C11:C26">
      <formula1>$C$35:$C$39</formula1>
    </dataValidation>
  </dataValidations>
  <printOptions horizontalCentered="1"/>
  <pageMargins left="0.59055118110236227" right="0.59055118110236227" top="0.98425196850393704" bottom="0.98425196850393704" header="0" footer="0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A48"/>
  <sheetViews>
    <sheetView view="pageBreakPreview" topLeftCell="A19" zoomScale="70" zoomScaleNormal="70" zoomScaleSheetLayoutView="70" workbookViewId="0">
      <selection activeCell="E58" sqref="E58"/>
    </sheetView>
  </sheetViews>
  <sheetFormatPr defaultRowHeight="12.75" x14ac:dyDescent="0.2"/>
  <cols>
    <col min="1" max="1" width="32.5703125" style="333" customWidth="1"/>
    <col min="2" max="4" width="20.7109375" style="333" customWidth="1"/>
    <col min="5" max="5" width="18.85546875" style="333" customWidth="1"/>
    <col min="6" max="6" width="15.7109375" style="333" customWidth="1"/>
    <col min="7" max="7" width="17" style="333" customWidth="1"/>
    <col min="8" max="8" width="15.7109375" style="333" customWidth="1"/>
    <col min="9" max="16384" width="9.140625" style="333"/>
  </cols>
  <sheetData>
    <row r="1" spans="1:27" s="331" customFormat="1" ht="18" customHeight="1" x14ac:dyDescent="0.25">
      <c r="A1" s="328" t="s">
        <v>387</v>
      </c>
      <c r="B1" s="328"/>
      <c r="C1" s="329"/>
      <c r="D1" s="329"/>
      <c r="E1" s="329"/>
      <c r="F1" s="330"/>
      <c r="G1" s="329"/>
      <c r="H1" s="329"/>
      <c r="I1" s="330"/>
      <c r="J1" s="330"/>
      <c r="K1" s="330"/>
    </row>
    <row r="2" spans="1:27" ht="12.75" customHeight="1" x14ac:dyDescent="0.25">
      <c r="A2" s="332"/>
      <c r="B2" s="332"/>
      <c r="C2" s="332"/>
      <c r="D2" s="332"/>
      <c r="E2" s="332"/>
      <c r="G2" s="332"/>
      <c r="H2" s="332"/>
    </row>
    <row r="3" spans="1:27" x14ac:dyDescent="0.2">
      <c r="E3" s="334"/>
      <c r="H3" s="334"/>
    </row>
    <row r="4" spans="1:27" s="336" customFormat="1" ht="19.5" customHeight="1" x14ac:dyDescent="0.25">
      <c r="A4" s="335" t="s">
        <v>35</v>
      </c>
      <c r="B4" s="593" t="str">
        <f>Članica!B8</f>
        <v>FAKULTETA ZA KEMIJO IN KEMIJSKO TEHNOLOGIJO</v>
      </c>
      <c r="C4" s="593"/>
      <c r="D4" s="593"/>
      <c r="E4" s="390"/>
      <c r="G4" s="435"/>
      <c r="H4" s="435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</row>
    <row r="5" spans="1:27" s="336" customFormat="1" ht="15" customHeight="1" x14ac:dyDescent="0.2">
      <c r="A5" s="338"/>
      <c r="B5" s="338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</row>
    <row r="6" spans="1:27" s="336" customFormat="1" ht="15" customHeight="1" x14ac:dyDescent="0.2">
      <c r="A6" s="338"/>
      <c r="B6" s="338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</row>
    <row r="7" spans="1:27" s="336" customFormat="1" ht="15" customHeight="1" x14ac:dyDescent="0.2">
      <c r="A7" s="338"/>
      <c r="B7" s="338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</row>
    <row r="8" spans="1:27" ht="13.5" thickBot="1" x14ac:dyDescent="0.25"/>
    <row r="9" spans="1:27" ht="61.5" customHeight="1" x14ac:dyDescent="0.2">
      <c r="A9" s="346" t="s">
        <v>301</v>
      </c>
      <c r="B9" s="436" t="s">
        <v>363</v>
      </c>
      <c r="C9" s="339" t="s">
        <v>364</v>
      </c>
      <c r="D9" s="339" t="s">
        <v>365</v>
      </c>
      <c r="E9" s="339" t="s">
        <v>349</v>
      </c>
      <c r="F9" s="413" t="s">
        <v>373</v>
      </c>
      <c r="G9" s="339" t="s">
        <v>372</v>
      </c>
      <c r="H9" s="340" t="s">
        <v>371</v>
      </c>
    </row>
    <row r="10" spans="1:27" ht="48.75" customHeight="1" x14ac:dyDescent="0.25">
      <c r="A10" s="411" t="s">
        <v>350</v>
      </c>
      <c r="B10" s="437">
        <v>402</v>
      </c>
      <c r="C10" s="412">
        <f>SUM(C11:C18)</f>
        <v>13051660</v>
      </c>
      <c r="D10" s="412">
        <f>SUM(D11:D18)</f>
        <v>12422374</v>
      </c>
      <c r="E10" s="431">
        <f>C10-D10</f>
        <v>629286</v>
      </c>
      <c r="F10" s="428">
        <f>IF(D10=0,"-",C10/D10*100)</f>
        <v>105.06574669221843</v>
      </c>
      <c r="G10" s="428">
        <f t="shared" ref="G10:G20" si="0">IF($C$20=0,"-",C10/$C$20*100)</f>
        <v>97.096456147406556</v>
      </c>
      <c r="H10" s="438">
        <f>IF($D$20=0,"-",D10/$D$20*100)</f>
        <v>97.707067739665931</v>
      </c>
    </row>
    <row r="11" spans="1:27" ht="46.5" customHeight="1" x14ac:dyDescent="0.25">
      <c r="A11" s="414" t="s">
        <v>23</v>
      </c>
      <c r="B11" s="439">
        <v>404</v>
      </c>
      <c r="C11" s="359">
        <f>'FN 2011-Realizacija 2011'!O13</f>
        <v>8460574</v>
      </c>
      <c r="D11" s="359">
        <f>'FN 2011-Realizacija 2011'!O14</f>
        <v>8498222</v>
      </c>
      <c r="E11" s="432">
        <f t="shared" ref="E11:E20" si="1">C11-D11</f>
        <v>-37648</v>
      </c>
      <c r="F11" s="429">
        <f t="shared" ref="F11:F20" si="2">IF(D11=0,"-",C11/D11*100)</f>
        <v>99.556989685607178</v>
      </c>
      <c r="G11" s="440">
        <f t="shared" si="0"/>
        <v>62.941553210311028</v>
      </c>
      <c r="H11" s="441">
        <f t="shared" ref="H11:H20" si="3">IF($D$20=0,"-",D11/$D$20*100)</f>
        <v>66.842002391871262</v>
      </c>
    </row>
    <row r="12" spans="1:27" ht="39.950000000000003" customHeight="1" x14ac:dyDescent="0.25">
      <c r="A12" s="414" t="s">
        <v>218</v>
      </c>
      <c r="B12" s="439">
        <v>404</v>
      </c>
      <c r="C12" s="360">
        <f>'FN 2011-Realizacija 2011'!P13</f>
        <v>3839850</v>
      </c>
      <c r="D12" s="360">
        <f>'FN 2011-Realizacija 2011'!P14</f>
        <v>3091955</v>
      </c>
      <c r="E12" s="433">
        <f t="shared" si="1"/>
        <v>747895</v>
      </c>
      <c r="F12" s="429">
        <f t="shared" si="2"/>
        <v>124.18841800737721</v>
      </c>
      <c r="G12" s="440">
        <f t="shared" si="0"/>
        <v>28.566161479659986</v>
      </c>
      <c r="H12" s="441">
        <f t="shared" si="3"/>
        <v>24.319494537275947</v>
      </c>
    </row>
    <row r="13" spans="1:27" ht="39.950000000000003" customHeight="1" x14ac:dyDescent="0.25">
      <c r="A13" s="414" t="s">
        <v>248</v>
      </c>
      <c r="B13" s="439">
        <v>404</v>
      </c>
      <c r="C13" s="360">
        <f>'FN 2011-Realizacija 2011'!Q13</f>
        <v>0</v>
      </c>
      <c r="D13" s="360">
        <f>'FN 2011-Realizacija 2011'!Q14</f>
        <v>0</v>
      </c>
      <c r="E13" s="433">
        <f t="shared" si="1"/>
        <v>0</v>
      </c>
      <c r="F13" s="429" t="str">
        <f t="shared" si="2"/>
        <v>-</v>
      </c>
      <c r="G13" s="440">
        <f t="shared" si="0"/>
        <v>0</v>
      </c>
      <c r="H13" s="441">
        <f t="shared" si="3"/>
        <v>0</v>
      </c>
    </row>
    <row r="14" spans="1:27" ht="39.950000000000003" customHeight="1" x14ac:dyDescent="0.25">
      <c r="A14" s="414" t="s">
        <v>249</v>
      </c>
      <c r="B14" s="439">
        <v>407</v>
      </c>
      <c r="C14" s="360">
        <f>'FN 2011-Realizacija 2011'!R13</f>
        <v>0</v>
      </c>
      <c r="D14" s="360">
        <f>'FN 2011-Realizacija 2011'!R14</f>
        <v>0</v>
      </c>
      <c r="E14" s="433">
        <f t="shared" si="1"/>
        <v>0</v>
      </c>
      <c r="F14" s="429" t="str">
        <f t="shared" si="2"/>
        <v>-</v>
      </c>
      <c r="G14" s="440">
        <f t="shared" si="0"/>
        <v>0</v>
      </c>
      <c r="H14" s="441">
        <f t="shared" si="3"/>
        <v>0</v>
      </c>
    </row>
    <row r="15" spans="1:27" ht="43.5" customHeight="1" x14ac:dyDescent="0.25">
      <c r="A15" s="414" t="s">
        <v>360</v>
      </c>
      <c r="B15" s="439">
        <v>419</v>
      </c>
      <c r="C15" s="360">
        <f>'FN 2011-Realizacija 2011'!S13</f>
        <v>36237</v>
      </c>
      <c r="D15" s="360">
        <f>'FN 2011-Realizacija 2011'!S14</f>
        <v>44143</v>
      </c>
      <c r="E15" s="433">
        <f t="shared" si="1"/>
        <v>-7906</v>
      </c>
      <c r="F15" s="429">
        <f t="shared" si="2"/>
        <v>82.09002559862266</v>
      </c>
      <c r="G15" s="440">
        <f t="shared" si="0"/>
        <v>0.26958136217259504</v>
      </c>
      <c r="H15" s="441">
        <f t="shared" si="3"/>
        <v>0.34720280449067736</v>
      </c>
    </row>
    <row r="16" spans="1:27" ht="45" customHeight="1" x14ac:dyDescent="0.25">
      <c r="A16" s="414" t="s">
        <v>358</v>
      </c>
      <c r="B16" s="439">
        <v>421</v>
      </c>
      <c r="C16" s="360">
        <f>'FN 2011-Realizacija 2011'!T13</f>
        <v>564175</v>
      </c>
      <c r="D16" s="360">
        <f>'FN 2011-Realizacija 2011'!T14</f>
        <v>649460</v>
      </c>
      <c r="E16" s="433">
        <f t="shared" si="1"/>
        <v>-85285</v>
      </c>
      <c r="F16" s="429">
        <f t="shared" si="2"/>
        <v>86.868321374680505</v>
      </c>
      <c r="G16" s="440">
        <f t="shared" si="0"/>
        <v>4.1971207606513721</v>
      </c>
      <c r="H16" s="441">
        <f t="shared" si="3"/>
        <v>5.1082693383892188</v>
      </c>
    </row>
    <row r="17" spans="1:8" ht="43.5" customHeight="1" x14ac:dyDescent="0.25">
      <c r="A17" s="414" t="s">
        <v>361</v>
      </c>
      <c r="B17" s="439">
        <v>429</v>
      </c>
      <c r="C17" s="360">
        <f>'FN 2011-Realizacija 2011'!U13</f>
        <v>9016</v>
      </c>
      <c r="D17" s="360">
        <f>'FN 2011-Realizacija 2011'!U14</f>
        <v>46491</v>
      </c>
      <c r="E17" s="433">
        <f t="shared" si="1"/>
        <v>-37475</v>
      </c>
      <c r="F17" s="429">
        <f t="shared" si="2"/>
        <v>19.393000795852959</v>
      </c>
      <c r="G17" s="440">
        <f t="shared" si="0"/>
        <v>6.7073586702765586E-2</v>
      </c>
      <c r="H17" s="441">
        <f t="shared" si="3"/>
        <v>0.36567078774836509</v>
      </c>
    </row>
    <row r="18" spans="1:8" ht="41.25" customHeight="1" x14ac:dyDescent="0.25">
      <c r="A18" s="414" t="s">
        <v>26</v>
      </c>
      <c r="B18" s="439" t="s">
        <v>366</v>
      </c>
      <c r="C18" s="360">
        <f>'FN 2011-Realizacija 2011'!V13</f>
        <v>141808</v>
      </c>
      <c r="D18" s="360">
        <f>'FN 2011-Realizacija 2011'!V14</f>
        <v>92103</v>
      </c>
      <c r="E18" s="433">
        <f t="shared" si="1"/>
        <v>49705</v>
      </c>
      <c r="F18" s="429">
        <f t="shared" si="2"/>
        <v>153.96675461168473</v>
      </c>
      <c r="G18" s="440">
        <f t="shared" si="0"/>
        <v>1.0549657479088046</v>
      </c>
      <c r="H18" s="441">
        <f t="shared" si="3"/>
        <v>0.72442787989046631</v>
      </c>
    </row>
    <row r="19" spans="1:8" ht="39.950000000000003" customHeight="1" x14ac:dyDescent="0.25">
      <c r="A19" s="414" t="s">
        <v>250</v>
      </c>
      <c r="B19" s="439">
        <v>431</v>
      </c>
      <c r="C19" s="360">
        <f>'FN 2011-Realizacija 2011'!W13</f>
        <v>390293</v>
      </c>
      <c r="D19" s="449">
        <f>'FN 2011-Realizacija 2011'!W14</f>
        <v>291521</v>
      </c>
      <c r="E19" s="433">
        <f t="shared" si="1"/>
        <v>98772</v>
      </c>
      <c r="F19" s="429">
        <f t="shared" si="2"/>
        <v>133.88160715694582</v>
      </c>
      <c r="G19" s="440">
        <f t="shared" si="0"/>
        <v>2.9035438525934438</v>
      </c>
      <c r="H19" s="441">
        <f t="shared" si="3"/>
        <v>2.2929322603340676</v>
      </c>
    </row>
    <row r="20" spans="1:8" ht="39.950000000000003" customHeight="1" thickBot="1" x14ac:dyDescent="0.3">
      <c r="A20" s="343" t="s">
        <v>19</v>
      </c>
      <c r="B20" s="442"/>
      <c r="C20" s="344">
        <f>SUM(C11:C19)</f>
        <v>13441953</v>
      </c>
      <c r="D20" s="344">
        <f>SUM(D11:D19)</f>
        <v>12713895</v>
      </c>
      <c r="E20" s="434">
        <f t="shared" si="1"/>
        <v>728058</v>
      </c>
      <c r="F20" s="430">
        <f t="shared" si="2"/>
        <v>105.726474852907</v>
      </c>
      <c r="G20" s="443">
        <f t="shared" si="0"/>
        <v>100</v>
      </c>
      <c r="H20" s="444">
        <f t="shared" si="3"/>
        <v>100</v>
      </c>
    </row>
    <row r="21" spans="1:8" x14ac:dyDescent="0.2">
      <c r="G21" s="345"/>
    </row>
    <row r="22" spans="1:8" s="334" customFormat="1" x14ac:dyDescent="0.2"/>
    <row r="23" spans="1:8" s="334" customFormat="1" ht="14.25" x14ac:dyDescent="0.2">
      <c r="A23" s="486" t="s">
        <v>367</v>
      </c>
      <c r="B23" s="450"/>
      <c r="C23" s="450"/>
      <c r="D23" s="450"/>
      <c r="E23" s="450"/>
      <c r="F23" s="450"/>
      <c r="G23" s="450"/>
    </row>
    <row r="27" spans="1:8" ht="13.5" thickBot="1" x14ac:dyDescent="0.25"/>
    <row r="28" spans="1:8" ht="60" x14ac:dyDescent="0.2">
      <c r="A28" s="346" t="s">
        <v>301</v>
      </c>
      <c r="B28" s="339" t="s">
        <v>302</v>
      </c>
      <c r="C28" s="340" t="s">
        <v>374</v>
      </c>
      <c r="E28" s="347"/>
      <c r="H28" s="347"/>
    </row>
    <row r="29" spans="1:8" ht="39.950000000000003" customHeight="1" x14ac:dyDescent="0.2">
      <c r="A29" s="414" t="s">
        <v>303</v>
      </c>
      <c r="B29" s="341">
        <v>281050</v>
      </c>
      <c r="C29" s="445">
        <f t="shared" ref="C29:C35" si="4">IF($B$35=0,"-",B29/$B$35*100)</f>
        <v>72.010002741530073</v>
      </c>
      <c r="E29" s="348"/>
      <c r="H29" s="348"/>
    </row>
    <row r="30" spans="1:8" ht="39.950000000000003" customHeight="1" x14ac:dyDescent="0.2">
      <c r="A30" s="414" t="s">
        <v>304</v>
      </c>
      <c r="B30" s="342">
        <v>15635</v>
      </c>
      <c r="C30" s="445">
        <f t="shared" si="4"/>
        <v>4.0059647495599462</v>
      </c>
      <c r="E30" s="348"/>
      <c r="H30" s="348"/>
    </row>
    <row r="31" spans="1:8" ht="39.950000000000003" customHeight="1" x14ac:dyDescent="0.2">
      <c r="A31" s="414" t="s">
        <v>305</v>
      </c>
      <c r="B31" s="342">
        <v>7800</v>
      </c>
      <c r="C31" s="445">
        <f t="shared" si="4"/>
        <v>1.9984985638994295</v>
      </c>
      <c r="E31" s="348"/>
      <c r="H31" s="348"/>
    </row>
    <row r="32" spans="1:8" ht="39.950000000000003" customHeight="1" x14ac:dyDescent="0.2">
      <c r="A32" s="414" t="s">
        <v>306</v>
      </c>
      <c r="B32" s="342">
        <v>62520</v>
      </c>
      <c r="C32" s="445">
        <f t="shared" si="4"/>
        <v>16.018734642947734</v>
      </c>
      <c r="E32" s="348"/>
      <c r="H32" s="348"/>
    </row>
    <row r="33" spans="1:9" ht="39.950000000000003" customHeight="1" x14ac:dyDescent="0.2">
      <c r="A33" s="414" t="s">
        <v>307</v>
      </c>
      <c r="B33" s="342">
        <v>0</v>
      </c>
      <c r="C33" s="445">
        <f t="shared" si="4"/>
        <v>0</v>
      </c>
      <c r="E33" s="348"/>
      <c r="H33" s="348"/>
    </row>
    <row r="34" spans="1:9" ht="39.950000000000003" customHeight="1" x14ac:dyDescent="0.2">
      <c r="A34" s="414" t="s">
        <v>5</v>
      </c>
      <c r="B34" s="342">
        <v>23288</v>
      </c>
      <c r="C34" s="445">
        <f t="shared" si="4"/>
        <v>5.9667993020628094</v>
      </c>
      <c r="E34" s="348"/>
      <c r="H34" s="348"/>
    </row>
    <row r="35" spans="1:9" ht="39.950000000000003" customHeight="1" thickBot="1" x14ac:dyDescent="0.3">
      <c r="A35" s="343" t="s">
        <v>19</v>
      </c>
      <c r="B35" s="344">
        <f>SUM(B29:B34)</f>
        <v>390293</v>
      </c>
      <c r="C35" s="444">
        <f t="shared" si="4"/>
        <v>100</v>
      </c>
      <c r="E35" s="349"/>
      <c r="H35" s="349"/>
    </row>
    <row r="36" spans="1:9" s="352" customFormat="1" ht="15" x14ac:dyDescent="0.25">
      <c r="A36" s="350"/>
      <c r="B36" s="350"/>
      <c r="C36" s="351"/>
      <c r="D36" s="349"/>
      <c r="E36" s="349"/>
      <c r="H36" s="349"/>
    </row>
    <row r="37" spans="1:9" s="352" customFormat="1" ht="15" customHeight="1" x14ac:dyDescent="0.25">
      <c r="A37" s="350"/>
      <c r="B37" s="592">
        <f>IF(B35=C19,,"Celica B35 se mora ujemati z gornjo celico C19 - PROSIMO USKLADITE!")</f>
        <v>0</v>
      </c>
      <c r="C37" s="592"/>
      <c r="D37" s="349"/>
      <c r="E37" s="349"/>
      <c r="H37" s="349"/>
    </row>
    <row r="38" spans="1:9" s="352" customFormat="1" ht="15" x14ac:dyDescent="0.25">
      <c r="A38" s="350"/>
      <c r="B38" s="592"/>
      <c r="C38" s="592"/>
      <c r="D38" s="349"/>
      <c r="E38" s="349"/>
      <c r="H38" s="349"/>
    </row>
    <row r="39" spans="1:9" s="352" customFormat="1" ht="15" x14ac:dyDescent="0.25">
      <c r="A39" s="350"/>
      <c r="B39" s="592"/>
      <c r="C39" s="592"/>
      <c r="D39" s="349"/>
      <c r="E39" s="349"/>
      <c r="H39" s="349"/>
    </row>
    <row r="40" spans="1:9" s="352" customFormat="1" ht="15" x14ac:dyDescent="0.25">
      <c r="A40" s="350"/>
      <c r="B40" s="349"/>
      <c r="C40" s="349"/>
      <c r="D40" s="349"/>
      <c r="E40" s="349"/>
      <c r="H40" s="349"/>
    </row>
    <row r="41" spans="1:9" s="352" customFormat="1" ht="15" x14ac:dyDescent="0.25">
      <c r="A41" s="350"/>
      <c r="B41" s="349"/>
      <c r="C41" s="349"/>
      <c r="D41" s="349"/>
      <c r="E41" s="349"/>
      <c r="G41" s="70"/>
      <c r="H41" s="349"/>
    </row>
    <row r="42" spans="1:9" x14ac:dyDescent="0.2">
      <c r="A42" s="447" t="s">
        <v>30</v>
      </c>
      <c r="B42" s="354"/>
      <c r="C42" s="353"/>
      <c r="D42" s="353"/>
      <c r="E42" s="353"/>
      <c r="F42" s="353"/>
      <c r="G42" s="70"/>
      <c r="H42" s="353"/>
      <c r="I42" s="353"/>
    </row>
    <row r="43" spans="1:9" x14ac:dyDescent="0.2">
      <c r="A43" s="377"/>
      <c r="B43" s="377"/>
      <c r="C43" s="70"/>
      <c r="D43" s="70"/>
      <c r="E43" s="70"/>
      <c r="F43" s="70"/>
      <c r="G43" s="70"/>
      <c r="H43" s="70"/>
      <c r="I43" s="70"/>
    </row>
    <row r="44" spans="1:9" x14ac:dyDescent="0.2">
      <c r="A44" s="355" t="str">
        <f>Članica!A15</f>
        <v>Ljubljana, 29.02.2012</v>
      </c>
      <c r="B44" s="355"/>
      <c r="C44" s="70"/>
      <c r="D44" s="70"/>
      <c r="E44" s="70"/>
      <c r="F44" s="70"/>
      <c r="G44" s="70"/>
      <c r="H44" s="70"/>
      <c r="I44" s="70"/>
    </row>
    <row r="45" spans="1:9" x14ac:dyDescent="0.2">
      <c r="A45" s="377"/>
      <c r="B45" s="377"/>
      <c r="C45" s="70"/>
      <c r="D45" s="70"/>
      <c r="E45" s="70"/>
      <c r="F45" s="70"/>
      <c r="G45" s="70"/>
      <c r="H45" s="70"/>
      <c r="I45" s="70"/>
    </row>
    <row r="46" spans="1:9" x14ac:dyDescent="0.2">
      <c r="A46" s="377" t="s">
        <v>32</v>
      </c>
      <c r="B46" s="377"/>
      <c r="C46" s="356"/>
      <c r="D46" s="356" t="s">
        <v>36</v>
      </c>
      <c r="E46" s="357"/>
      <c r="F46" s="357" t="s">
        <v>7</v>
      </c>
      <c r="G46" s="357"/>
      <c r="H46" s="357"/>
    </row>
    <row r="47" spans="1:9" x14ac:dyDescent="0.2">
      <c r="A47" s="377"/>
      <c r="B47" s="377"/>
      <c r="C47" s="70"/>
      <c r="D47" s="70"/>
      <c r="E47" s="70"/>
      <c r="F47" s="70"/>
      <c r="G47" s="70"/>
      <c r="H47" s="70"/>
    </row>
    <row r="48" spans="1:9" x14ac:dyDescent="0.2">
      <c r="A48" s="358" t="str">
        <f>Članica!A21</f>
        <v>Ljudmila Obreza, dipl,ekon.</v>
      </c>
      <c r="B48" s="358"/>
      <c r="C48" s="446"/>
      <c r="D48" s="446"/>
      <c r="E48" s="446"/>
      <c r="F48" s="594" t="str">
        <f>Članica!C21</f>
        <v>Prof.dr. Anton Meden, dekan</v>
      </c>
      <c r="G48" s="594"/>
      <c r="H48" s="594"/>
    </row>
  </sheetData>
  <sheetProtection password="CDEB" sheet="1"/>
  <mergeCells count="3">
    <mergeCell ref="B37:C39"/>
    <mergeCell ref="B4:D4"/>
    <mergeCell ref="F48:H48"/>
  </mergeCells>
  <conditionalFormatting sqref="B29:B34 D29:D34 B10:B19 D10:D19">
    <cfRule type="containsText" dxfId="11" priority="21" stopIfTrue="1" operator="containsText" text=",">
      <formula>NOT(ISERROR(SEARCH(",",B10)))</formula>
    </cfRule>
  </conditionalFormatting>
  <conditionalFormatting sqref="B37">
    <cfRule type="cellIs" priority="19" stopIfTrue="1" operator="notEqual">
      <formula>$G$17</formula>
    </cfRule>
  </conditionalFormatting>
  <conditionalFormatting sqref="B37">
    <cfRule type="cellIs" dxfId="10" priority="17" stopIfTrue="1" operator="lessThan">
      <formula>$G$17</formula>
    </cfRule>
    <cfRule type="cellIs" dxfId="9" priority="18" stopIfTrue="1" operator="greaterThan">
      <formula>$G$17</formula>
    </cfRule>
  </conditionalFormatting>
  <conditionalFormatting sqref="B29:B34">
    <cfRule type="containsText" dxfId="8" priority="10" operator="containsText" text=",">
      <formula>NOT(ISERROR(SEARCH(",",B29)))</formula>
    </cfRule>
    <cfRule type="containsText" dxfId="7" priority="11" operator="containsText" text=",">
      <formula>NOT(ISERROR(SEARCH(",",B29)))</formula>
    </cfRule>
  </conditionalFormatting>
  <conditionalFormatting sqref="B29:B34 C10:E19 E29:E34">
    <cfRule type="containsText" dxfId="6" priority="9" stopIfTrue="1" operator="containsText" text=",">
      <formula>NOT(ISERROR(SEARCH(",",B10)))</formula>
    </cfRule>
  </conditionalFormatting>
  <conditionalFormatting sqref="B29:B34 E29:E34">
    <cfRule type="containsText" dxfId="5" priority="7" operator="containsText" text=",">
      <formula>NOT(ISERROR(SEARCH(",",B29)))</formula>
    </cfRule>
    <cfRule type="containsText" dxfId="4" priority="8" operator="containsText" text=",">
      <formula>NOT(ISERROR(SEARCH(",",B29)))</formula>
    </cfRule>
  </conditionalFormatting>
  <conditionalFormatting sqref="B37:E37">
    <cfRule type="cellIs" priority="6" stopIfTrue="1" operator="notEqual">
      <formula>#REF!</formula>
    </cfRule>
  </conditionalFormatting>
  <conditionalFormatting sqref="B37:E37">
    <cfRule type="cellIs" dxfId="3" priority="4" stopIfTrue="1" operator="lessThan">
      <formula>#REF!</formula>
    </cfRule>
    <cfRule type="cellIs" dxfId="2" priority="5" stopIfTrue="1" operator="greaterThan">
      <formula>#REF!</formula>
    </cfRule>
  </conditionalFormatting>
  <conditionalFormatting sqref="B37">
    <cfRule type="cellIs" priority="3" stopIfTrue="1" operator="notEqual">
      <formula>$G$17</formula>
    </cfRule>
  </conditionalFormatting>
  <conditionalFormatting sqref="B37">
    <cfRule type="cellIs" dxfId="1" priority="1" stopIfTrue="1" operator="lessThan">
      <formula>$G$17</formula>
    </cfRule>
    <cfRule type="cellIs" dxfId="0" priority="2" stopIfTrue="1" operator="greaterThan">
      <formula>$G$17</formula>
    </cfRule>
  </conditionalFormatting>
  <dataValidations count="1">
    <dataValidation type="whole" allowBlank="1" showInputMessage="1" showErrorMessage="1" error="DECIMALKA NI DOVOLJENA!" sqref="B29:B34 C11:D19">
      <formula1>0</formula1>
      <formula2>1000000000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8"/>
  <sheetViews>
    <sheetView workbookViewId="0">
      <selection activeCell="D8" sqref="D8"/>
    </sheetView>
  </sheetViews>
  <sheetFormatPr defaultRowHeight="12.75" x14ac:dyDescent="0.2"/>
  <cols>
    <col min="3" max="4" width="11.42578125" customWidth="1"/>
  </cols>
  <sheetData>
    <row r="4" spans="2:5" x14ac:dyDescent="0.2">
      <c r="D4" s="552" t="s">
        <v>396</v>
      </c>
    </row>
    <row r="5" spans="2:5" x14ac:dyDescent="0.2">
      <c r="C5" s="550">
        <f>'FN 2011-Realizacija 2011'!N35+'FN 2011-Realizacija 2011'!N77+'FN 2011-Realizacija 2011'!N84+'FN 2011-Realizacija 2011'!N109+'FN 2011-Realizacija 2011'!N137+'FN 2011-Realizacija 2011'!N151</f>
        <v>7021423</v>
      </c>
      <c r="D5" s="550">
        <v>7021422.6299999999</v>
      </c>
      <c r="E5" s="550">
        <f>D5-C5</f>
        <v>-0.37000000011175871</v>
      </c>
    </row>
    <row r="6" spans="2:5" x14ac:dyDescent="0.2">
      <c r="B6" s="550">
        <f>'FN 2011-Realizacija 2011'!N44+'FN 2011-Realizacija 2011'!N78+'FN 2011-Realizacija 2011'!N85+'FN 2011-Realizacija 2011'!N110+'FN 2011-Realizacija 2011'!N138+'FN 2011-Realizacija 2011'!N152</f>
        <v>1118234</v>
      </c>
      <c r="C6" s="550">
        <f>B6</f>
        <v>1118234</v>
      </c>
      <c r="D6" s="550">
        <v>1118234.49</v>
      </c>
      <c r="E6" s="550">
        <f t="shared" ref="E6:E7" si="0">D6-C6</f>
        <v>0.48999999999068677</v>
      </c>
    </row>
    <row r="7" spans="2:5" x14ac:dyDescent="0.2">
      <c r="C7" s="551">
        <f>'FN 2011-Realizacija 2011'!N46+'FN 2011-Realizacija 2011'!N79+'FN 2011-Realizacija 2011'!N111+'FN 2011-Realizacija 2011'!N139+'FN 2011-Realizacija 2011'!N153</f>
        <v>549579</v>
      </c>
      <c r="D7" s="551">
        <v>549579</v>
      </c>
      <c r="E7" s="550">
        <f t="shared" si="0"/>
        <v>0</v>
      </c>
    </row>
    <row r="8" spans="2:5" x14ac:dyDescent="0.2">
      <c r="C8" s="550">
        <f>SUM(C5:C7)</f>
        <v>8689236</v>
      </c>
      <c r="D8" s="550">
        <f>SUM(D5:D7)</f>
        <v>8689236.120000001</v>
      </c>
      <c r="E8" s="550">
        <f>SUM(E5:E7)</f>
        <v>0.11999999987892807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Članica</vt:lpstr>
      <vt:lpstr>SD-Prih-Odh</vt:lpstr>
      <vt:lpstr>FN 2011-Realizacija 2011</vt:lpstr>
      <vt:lpstr>Obrazložitev realizacije </vt:lpstr>
      <vt:lpstr>Oprema</vt:lpstr>
      <vt:lpstr>Struktura P-O</vt:lpstr>
      <vt:lpstr>List1</vt:lpstr>
      <vt:lpstr>Članica!Print_Area</vt:lpstr>
      <vt:lpstr>'FN 2011-Realizacija 2011'!Print_Area</vt:lpstr>
      <vt:lpstr>'Obrazložitev realizacije '!Print_Area</vt:lpstr>
      <vt:lpstr>'SD-Prih-Odh'!Print_Area</vt:lpstr>
      <vt:lpstr>'FN 2011-Realizacija 2011'!Print_Titles</vt:lpstr>
      <vt:lpstr>Oprema!Print_Titles</vt:lpstr>
      <vt:lpstr>'SD-Prih-Odh'!Print_Titles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</dc:creator>
  <cp:lastModifiedBy>Topovšek, Janez</cp:lastModifiedBy>
  <cp:lastPrinted>2012-02-29T12:57:19Z</cp:lastPrinted>
  <dcterms:created xsi:type="dcterms:W3CDTF">2003-12-17T19:09:28Z</dcterms:created>
  <dcterms:modified xsi:type="dcterms:W3CDTF">2012-03-02T10:38:46Z</dcterms:modified>
</cp:coreProperties>
</file>